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shin-chita\data\"/>
    </mc:Choice>
  </mc:AlternateContent>
  <xr:revisionPtr revIDLastSave="0" documentId="8_{65E3DAD6-BF3F-49F1-B43F-C6639ACDEFFF}" xr6:coauthVersionLast="47" xr6:coauthVersionMax="47" xr10:uidLastSave="{00000000-0000-0000-0000-000000000000}"/>
  <bookViews>
    <workbookView xWindow="2550" yWindow="1050" windowWidth="18795" windowHeight="13980" xr2:uid="{E626F201-16DB-45F8-95FA-BF4D59733DC3}"/>
  </bookViews>
  <sheets>
    <sheet name="重量表" sheetId="1" r:id="rId1"/>
    <sheet name="必要耐力・重心" sheetId="2" r:id="rId2"/>
    <sheet name="評点" sheetId="3" r:id="rId3"/>
  </sheets>
  <externalReferences>
    <externalReference r:id="rId4"/>
  </externalReferences>
  <definedNames>
    <definedName name="_xlnm.Print_Area" localSheetId="0">重量表!$A$1:$L$84</definedName>
    <definedName name="_xlnm.Print_Area" localSheetId="1">必要耐力・重心!$A$1:$W$49</definedName>
    <definedName name="ＺＯＮＥ">[1]必要耐力・重心!$F$3:$F$5</definedName>
    <definedName name="屋根仕様">[1]重量表!$W$3:$W$7</definedName>
    <definedName name="外壁仕様">[1]重量表!$W$10:$W$14</definedName>
    <definedName name="内壁仕様">[1]重量表!$W$17:$W$18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24" i="3"/>
  <c r="Q35" i="2"/>
  <c r="Q34" i="2"/>
  <c r="Q33" i="2"/>
  <c r="Q32" i="2"/>
  <c r="Q31" i="2"/>
  <c r="Q30" i="2"/>
  <c r="Q29" i="2"/>
  <c r="Q28" i="2"/>
  <c r="Q27" i="2"/>
  <c r="Q26" i="2"/>
  <c r="R18" i="2"/>
  <c r="K8" i="2"/>
  <c r="J8" i="2"/>
  <c r="K7" i="2"/>
  <c r="J7" i="2"/>
  <c r="K6" i="2"/>
  <c r="J6" i="2"/>
  <c r="K5" i="2"/>
  <c r="J5" i="2"/>
  <c r="K4" i="2"/>
  <c r="J4" i="2"/>
  <c r="I84" i="1"/>
  <c r="J84" i="1" s="1"/>
  <c r="I70" i="1"/>
  <c r="J70" i="1" s="1"/>
  <c r="F8" i="2"/>
  <c r="F7" i="2"/>
  <c r="F6" i="2"/>
  <c r="F5" i="2"/>
  <c r="F4" i="2"/>
  <c r="I18" i="2" s="1"/>
  <c r="I46" i="2"/>
  <c r="H46" i="2"/>
  <c r="H41" i="2"/>
  <c r="K41" i="2" s="1"/>
  <c r="K42" i="2" s="1"/>
  <c r="P35" i="2"/>
  <c r="K35" i="2"/>
  <c r="R35" i="2" s="1"/>
  <c r="J35" i="2"/>
  <c r="P34" i="2"/>
  <c r="K34" i="2"/>
  <c r="R34" i="2" s="1"/>
  <c r="J34" i="2"/>
  <c r="P33" i="2"/>
  <c r="K33" i="2"/>
  <c r="R33" i="2" s="1"/>
  <c r="J33" i="2"/>
  <c r="P32" i="2"/>
  <c r="K32" i="2"/>
  <c r="R32" i="2" s="1"/>
  <c r="J32" i="2"/>
  <c r="P31" i="2"/>
  <c r="K31" i="2"/>
  <c r="R31" i="2" s="1"/>
  <c r="J31" i="2"/>
  <c r="P30" i="2"/>
  <c r="J30" i="2"/>
  <c r="P29" i="2"/>
  <c r="J29" i="2"/>
  <c r="P28" i="2"/>
  <c r="J28" i="2"/>
  <c r="P27" i="2"/>
  <c r="J27" i="2"/>
  <c r="P26" i="2"/>
  <c r="J26" i="2"/>
  <c r="H25" i="2"/>
  <c r="G25" i="2"/>
  <c r="F25" i="2"/>
  <c r="E25" i="2"/>
  <c r="K25" i="2" s="1"/>
  <c r="D25" i="2"/>
  <c r="C25" i="2"/>
  <c r="P25" i="2" s="1"/>
  <c r="H24" i="2"/>
  <c r="G24" i="2"/>
  <c r="F24" i="2"/>
  <c r="E24" i="2"/>
  <c r="J24" i="2" s="1"/>
  <c r="R24" i="2" s="1"/>
  <c r="D24" i="2"/>
  <c r="C24" i="2"/>
  <c r="P24" i="2" s="1"/>
  <c r="H23" i="2"/>
  <c r="G23" i="2"/>
  <c r="F23" i="2"/>
  <c r="E23" i="2"/>
  <c r="D23" i="2"/>
  <c r="C23" i="2"/>
  <c r="P23" i="2" s="1"/>
  <c r="H22" i="2"/>
  <c r="G22" i="2"/>
  <c r="F22" i="2"/>
  <c r="E22" i="2"/>
  <c r="D22" i="2"/>
  <c r="C22" i="2"/>
  <c r="P22" i="2" s="1"/>
  <c r="H21" i="2"/>
  <c r="G21" i="2"/>
  <c r="F21" i="2"/>
  <c r="E21" i="2"/>
  <c r="D21" i="2"/>
  <c r="C21" i="2"/>
  <c r="P21" i="2" s="1"/>
  <c r="H20" i="2"/>
  <c r="G20" i="2"/>
  <c r="F20" i="2"/>
  <c r="E20" i="2"/>
  <c r="J20" i="2" s="1"/>
  <c r="D20" i="2"/>
  <c r="C20" i="2"/>
  <c r="P20" i="2" s="1"/>
  <c r="P18" i="2"/>
  <c r="K18" i="2"/>
  <c r="J18" i="2"/>
  <c r="P17" i="2"/>
  <c r="K17" i="2"/>
  <c r="J17" i="2"/>
  <c r="R17" i="2" s="1"/>
  <c r="P16" i="2"/>
  <c r="J16" i="2"/>
  <c r="P15" i="2"/>
  <c r="J15" i="2"/>
  <c r="P14" i="2"/>
  <c r="J14" i="2"/>
  <c r="P13" i="2"/>
  <c r="J13" i="2"/>
  <c r="G82" i="1"/>
  <c r="F82" i="1"/>
  <c r="G81" i="1"/>
  <c r="H81" i="1" s="1"/>
  <c r="F80" i="1"/>
  <c r="H80" i="1" s="1"/>
  <c r="K80" i="1" s="1"/>
  <c r="F79" i="1"/>
  <c r="H79" i="1" s="1"/>
  <c r="K79" i="1" s="1"/>
  <c r="F78" i="1"/>
  <c r="H78" i="1" s="1"/>
  <c r="K78" i="1" s="1"/>
  <c r="F77" i="1"/>
  <c r="H77" i="1" s="1"/>
  <c r="I77" i="1" s="1"/>
  <c r="F76" i="1"/>
  <c r="H76" i="1" s="1"/>
  <c r="I76" i="1" s="1"/>
  <c r="F75" i="1"/>
  <c r="H75" i="1" s="1"/>
  <c r="I75" i="1" s="1"/>
  <c r="G68" i="1"/>
  <c r="F68" i="1"/>
  <c r="G67" i="1"/>
  <c r="H67" i="1" s="1"/>
  <c r="F66" i="1"/>
  <c r="H66" i="1" s="1"/>
  <c r="K66" i="1" s="1"/>
  <c r="F65" i="1"/>
  <c r="H65" i="1" s="1"/>
  <c r="K65" i="1" s="1"/>
  <c r="F64" i="1"/>
  <c r="H64" i="1" s="1"/>
  <c r="K64" i="1" s="1"/>
  <c r="F63" i="1"/>
  <c r="H63" i="1" s="1"/>
  <c r="I63" i="1" s="1"/>
  <c r="F62" i="1"/>
  <c r="H62" i="1" s="1"/>
  <c r="I62" i="1" s="1"/>
  <c r="F61" i="1"/>
  <c r="H61" i="1" s="1"/>
  <c r="I61" i="1" s="1"/>
  <c r="G54" i="1"/>
  <c r="F54" i="1"/>
  <c r="G53" i="1"/>
  <c r="H53" i="1" s="1"/>
  <c r="F52" i="1"/>
  <c r="H52" i="1" s="1"/>
  <c r="K52" i="1" s="1"/>
  <c r="F51" i="1"/>
  <c r="H51" i="1" s="1"/>
  <c r="K51" i="1" s="1"/>
  <c r="F50" i="1"/>
  <c r="H50" i="1" s="1"/>
  <c r="K50" i="1" s="1"/>
  <c r="F49" i="1"/>
  <c r="H49" i="1" s="1"/>
  <c r="I49" i="1" s="1"/>
  <c r="F48" i="1"/>
  <c r="H48" i="1" s="1"/>
  <c r="I48" i="1" s="1"/>
  <c r="I56" i="1" s="1"/>
  <c r="J56" i="1" s="1"/>
  <c r="F47" i="1"/>
  <c r="H47" i="1" s="1"/>
  <c r="I47" i="1" s="1"/>
  <c r="G40" i="1"/>
  <c r="F40" i="1"/>
  <c r="G39" i="1"/>
  <c r="H39" i="1" s="1"/>
  <c r="F38" i="1"/>
  <c r="H38" i="1" s="1"/>
  <c r="F37" i="1"/>
  <c r="H37" i="1" s="1"/>
  <c r="F36" i="1"/>
  <c r="H36" i="1" s="1"/>
  <c r="K36" i="1" s="1"/>
  <c r="F35" i="1"/>
  <c r="H35" i="1" s="1"/>
  <c r="I35" i="1" s="1"/>
  <c r="F34" i="1"/>
  <c r="H34" i="1" s="1"/>
  <c r="I34" i="1" s="1"/>
  <c r="I42" i="1" s="1"/>
  <c r="J42" i="1" s="1"/>
  <c r="F33" i="1"/>
  <c r="H33" i="1" s="1"/>
  <c r="I33" i="1" s="1"/>
  <c r="J38" i="1" s="1"/>
  <c r="F26" i="1"/>
  <c r="G26" i="1"/>
  <c r="G25" i="1"/>
  <c r="H25" i="1" s="1"/>
  <c r="F24" i="1"/>
  <c r="H24" i="1" s="1"/>
  <c r="K24" i="1" s="1"/>
  <c r="F23" i="1"/>
  <c r="H23" i="1" s="1"/>
  <c r="K23" i="1" s="1"/>
  <c r="F22" i="1"/>
  <c r="H22" i="1" s="1"/>
  <c r="K22" i="1" s="1"/>
  <c r="F21" i="1"/>
  <c r="H21" i="1" s="1"/>
  <c r="I21" i="1" s="1"/>
  <c r="I28" i="1" s="1"/>
  <c r="J28" i="1" s="1"/>
  <c r="F20" i="1"/>
  <c r="H20" i="1" s="1"/>
  <c r="I20" i="1" s="1"/>
  <c r="F19" i="1"/>
  <c r="H19" i="1" s="1"/>
  <c r="I19" i="1" s="1"/>
  <c r="Q14" i="2" l="1"/>
  <c r="R14" i="2" s="1"/>
  <c r="Q18" i="2"/>
  <c r="Q25" i="2"/>
  <c r="I20" i="2"/>
  <c r="I21" i="2"/>
  <c r="I22" i="2"/>
  <c r="I23" i="2"/>
  <c r="I24" i="2"/>
  <c r="I25" i="2"/>
  <c r="Q13" i="2"/>
  <c r="R13" i="2" s="1"/>
  <c r="Q17" i="2"/>
  <c r="Q24" i="2"/>
  <c r="I13" i="2"/>
  <c r="I15" i="2"/>
  <c r="I17" i="2"/>
  <c r="I14" i="2"/>
  <c r="I16" i="2"/>
  <c r="H68" i="1"/>
  <c r="I35" i="2"/>
  <c r="H54" i="1"/>
  <c r="H82" i="1"/>
  <c r="J37" i="1"/>
  <c r="J39" i="1"/>
  <c r="K39" i="1" s="1"/>
  <c r="J40" i="1"/>
  <c r="I32" i="2"/>
  <c r="I34" i="2"/>
  <c r="I31" i="2"/>
  <c r="I33" i="2"/>
  <c r="J22" i="2"/>
  <c r="J81" i="1"/>
  <c r="K81" i="1" s="1"/>
  <c r="J79" i="1"/>
  <c r="J82" i="1"/>
  <c r="J80" i="1"/>
  <c r="J67" i="1"/>
  <c r="K67" i="1" s="1"/>
  <c r="J65" i="1"/>
  <c r="J68" i="1"/>
  <c r="K68" i="1" s="1"/>
  <c r="J66" i="1"/>
  <c r="J53" i="1"/>
  <c r="K53" i="1" s="1"/>
  <c r="J51" i="1"/>
  <c r="J54" i="1"/>
  <c r="K54" i="1" s="1"/>
  <c r="J52" i="1"/>
  <c r="J23" i="1"/>
  <c r="J24" i="1"/>
  <c r="J25" i="1"/>
  <c r="K25" i="1" s="1"/>
  <c r="H26" i="1"/>
  <c r="J26" i="1" s="1"/>
  <c r="J23" i="2"/>
  <c r="J25" i="2"/>
  <c r="R25" i="2" s="1"/>
  <c r="J19" i="2"/>
  <c r="J21" i="2"/>
  <c r="U17" i="2"/>
  <c r="U24" i="2" s="1"/>
  <c r="S17" i="2"/>
  <c r="S24" i="2" s="1"/>
  <c r="U32" i="2"/>
  <c r="S32" i="2"/>
  <c r="T32" i="2" s="1"/>
  <c r="V32" i="2"/>
  <c r="U34" i="2"/>
  <c r="S34" i="2"/>
  <c r="T34" i="2" s="1"/>
  <c r="V34" i="2"/>
  <c r="S18" i="2"/>
  <c r="S25" i="2" s="1"/>
  <c r="S31" i="2"/>
  <c r="T31" i="2" s="1"/>
  <c r="S33" i="2"/>
  <c r="T33" i="2" s="1"/>
  <c r="S35" i="2"/>
  <c r="T35" i="2" s="1"/>
  <c r="U18" i="2"/>
  <c r="U25" i="2" s="1"/>
  <c r="K24" i="2"/>
  <c r="U31" i="2"/>
  <c r="V31" i="2" s="1"/>
  <c r="U33" i="2"/>
  <c r="V33" i="2" s="1"/>
  <c r="U35" i="2"/>
  <c r="V35" i="2" s="1"/>
  <c r="H40" i="1"/>
  <c r="I83" i="1"/>
  <c r="G8" i="2" s="1"/>
  <c r="I69" i="1"/>
  <c r="G7" i="2" s="1"/>
  <c r="I55" i="1"/>
  <c r="G6" i="2" s="1"/>
  <c r="K38" i="1"/>
  <c r="I41" i="1"/>
  <c r="G5" i="2" s="1"/>
  <c r="K37" i="1"/>
  <c r="I27" i="1"/>
  <c r="G4" i="2" s="1"/>
  <c r="K15" i="2" s="1"/>
  <c r="S15" i="2" l="1"/>
  <c r="S22" i="2" s="1"/>
  <c r="K16" i="2"/>
  <c r="V25" i="2"/>
  <c r="T25" i="2"/>
  <c r="Q15" i="2"/>
  <c r="R15" i="2" s="1"/>
  <c r="R19" i="2" s="1"/>
  <c r="Q16" i="2"/>
  <c r="R16" i="2" s="1"/>
  <c r="S16" i="2" s="1"/>
  <c r="S23" i="2" s="1"/>
  <c r="J41" i="1"/>
  <c r="H5" i="2" s="1"/>
  <c r="K82" i="1"/>
  <c r="K26" i="1"/>
  <c r="K27" i="1" s="1"/>
  <c r="I4" i="2" s="1"/>
  <c r="I26" i="2" s="1"/>
  <c r="K26" i="2" s="1"/>
  <c r="R26" i="2" s="1"/>
  <c r="S26" i="2" s="1"/>
  <c r="J27" i="1"/>
  <c r="H4" i="2" s="1"/>
  <c r="K55" i="1"/>
  <c r="I6" i="2" s="1"/>
  <c r="K13" i="2"/>
  <c r="K14" i="2"/>
  <c r="S14" i="2" s="1"/>
  <c r="S21" i="2" s="1"/>
  <c r="K40" i="1"/>
  <c r="K41" i="1" s="1"/>
  <c r="I5" i="2" s="1"/>
  <c r="I27" i="2" s="1"/>
  <c r="K27" i="2" s="1"/>
  <c r="R27" i="2" s="1"/>
  <c r="U15" i="2"/>
  <c r="U22" i="2" s="1"/>
  <c r="K83" i="1"/>
  <c r="I8" i="2" s="1"/>
  <c r="I30" i="2" s="1"/>
  <c r="K30" i="2" s="1"/>
  <c r="R30" i="2" s="1"/>
  <c r="J69" i="1"/>
  <c r="H7" i="2" s="1"/>
  <c r="V17" i="2"/>
  <c r="J37" i="2"/>
  <c r="T18" i="2"/>
  <c r="U26" i="2"/>
  <c r="T17" i="2"/>
  <c r="T24" i="2"/>
  <c r="V24" i="2"/>
  <c r="V18" i="2"/>
  <c r="J55" i="1"/>
  <c r="H6" i="2" s="1"/>
  <c r="K69" i="1"/>
  <c r="I7" i="2" s="1"/>
  <c r="J83" i="1"/>
  <c r="H8" i="2" s="1"/>
  <c r="T40" i="2" l="1"/>
  <c r="R36" i="2"/>
  <c r="U19" i="2"/>
  <c r="Q21" i="2"/>
  <c r="R21" i="2" s="1"/>
  <c r="Q20" i="2"/>
  <c r="R20" i="2" s="1"/>
  <c r="Q22" i="2"/>
  <c r="R22" i="2" s="1"/>
  <c r="K23" i="2"/>
  <c r="Q23" i="2"/>
  <c r="R23" i="2" s="1"/>
  <c r="T23" i="2" s="1"/>
  <c r="T15" i="2"/>
  <c r="V16" i="2"/>
  <c r="U16" i="2"/>
  <c r="U23" i="2" s="1"/>
  <c r="U14" i="2"/>
  <c r="U21" i="2" s="1"/>
  <c r="V15" i="2"/>
  <c r="V14" i="2"/>
  <c r="V26" i="2"/>
  <c r="T14" i="2"/>
  <c r="T26" i="2"/>
  <c r="K19" i="2"/>
  <c r="T41" i="2" s="1"/>
  <c r="U27" i="2"/>
  <c r="V27" i="2" s="1"/>
  <c r="S27" i="2"/>
  <c r="T27" i="2" s="1"/>
  <c r="U30" i="2"/>
  <c r="V30" i="2" s="1"/>
  <c r="S30" i="2"/>
  <c r="T30" i="2" s="1"/>
  <c r="K20" i="2"/>
  <c r="K22" i="2"/>
  <c r="K21" i="2"/>
  <c r="V21" i="2" s="1"/>
  <c r="I28" i="2"/>
  <c r="K28" i="2" s="1"/>
  <c r="R28" i="2" s="1"/>
  <c r="I29" i="2"/>
  <c r="K29" i="2" s="1"/>
  <c r="R29" i="2" s="1"/>
  <c r="T16" i="2"/>
  <c r="U13" i="2"/>
  <c r="U20" i="2" s="1"/>
  <c r="S13" i="2"/>
  <c r="S20" i="2" s="1"/>
  <c r="E45" i="2"/>
  <c r="V23" i="2" l="1"/>
  <c r="R37" i="2"/>
  <c r="T42" i="2" s="1"/>
  <c r="T43" i="2" s="1"/>
  <c r="K36" i="2"/>
  <c r="T20" i="2"/>
  <c r="S29" i="2"/>
  <c r="T29" i="2" s="1"/>
  <c r="U29" i="2"/>
  <c r="V29" i="2" s="1"/>
  <c r="K37" i="2"/>
  <c r="V20" i="2"/>
  <c r="T21" i="2"/>
  <c r="S28" i="2"/>
  <c r="T28" i="2" s="1"/>
  <c r="U28" i="2"/>
  <c r="V28" i="2" s="1"/>
  <c r="T22" i="2"/>
  <c r="V22" i="2"/>
  <c r="T13" i="2"/>
  <c r="T19" i="2" s="1"/>
  <c r="E46" i="2"/>
  <c r="V13" i="2"/>
  <c r="V19" i="2" s="1"/>
  <c r="F46" i="2" l="1"/>
  <c r="G46" i="2" s="1"/>
  <c r="J46" i="2" s="1"/>
  <c r="K46" i="2" s="1"/>
  <c r="G27" i="3" s="1"/>
  <c r="V36" i="2"/>
  <c r="V37" i="2" s="1"/>
  <c r="S43" i="2" s="1"/>
  <c r="U43" i="2" s="1"/>
  <c r="D8" i="3" s="1"/>
  <c r="F8" i="3" s="1"/>
  <c r="H9" i="3" s="1"/>
  <c r="D18" i="3" s="1"/>
  <c r="E18" i="3" s="1"/>
  <c r="E27" i="3" s="1"/>
  <c r="F27" i="3" s="1"/>
  <c r="S41" i="2"/>
  <c r="U41" i="2" s="1"/>
  <c r="D6" i="3" s="1"/>
  <c r="F6" i="3" s="1"/>
  <c r="H7" i="3" s="1"/>
  <c r="D16" i="3" s="1"/>
  <c r="E16" i="3" s="1"/>
  <c r="E25" i="3" s="1"/>
  <c r="F25" i="3" s="1"/>
  <c r="F45" i="2"/>
  <c r="G45" i="2" s="1"/>
  <c r="J45" i="2" s="1"/>
  <c r="K45" i="2" s="1"/>
  <c r="G25" i="3" s="1"/>
  <c r="S40" i="2"/>
  <c r="U40" i="2" s="1"/>
  <c r="D7" i="3" s="1"/>
  <c r="F7" i="3" s="1"/>
  <c r="H6" i="3" s="1"/>
  <c r="D15" i="3" s="1"/>
  <c r="E15" i="3" s="1"/>
  <c r="E24" i="3" s="1"/>
  <c r="F24" i="3" s="1"/>
  <c r="T36" i="2"/>
  <c r="T37" i="2" s="1"/>
  <c r="S42" i="2" s="1"/>
  <c r="U42" i="2" s="1"/>
  <c r="D9" i="3" s="1"/>
  <c r="F9" i="3" s="1"/>
  <c r="H8" i="3" s="1"/>
  <c r="D17" i="3" s="1"/>
  <c r="E17" i="3" s="1"/>
  <c r="E26" i="3" s="1"/>
  <c r="F26" i="3" s="1"/>
  <c r="H26" i="3" l="1"/>
  <c r="H27" i="3"/>
  <c r="H24" i="3"/>
  <c r="H25" i="3"/>
</calcChain>
</file>

<file path=xl/sharedStrings.xml><?xml version="1.0" encoding="utf-8"?>
<sst xmlns="http://schemas.openxmlformats.org/spreadsheetml/2006/main" count="433" uniqueCount="179">
  <si>
    <t>住宅の簡易重量表（床面積当たり　kＮ/㎡）</t>
    <rPh sb="0" eb="2">
      <t>ジュウタク</t>
    </rPh>
    <rPh sb="3" eb="5">
      <t>カンイ</t>
    </rPh>
    <rPh sb="5" eb="7">
      <t>ジュウリョウ</t>
    </rPh>
    <rPh sb="7" eb="8">
      <t>ヒョウ</t>
    </rPh>
    <rPh sb="9" eb="12">
      <t>ユカメンセキ</t>
    </rPh>
    <rPh sb="12" eb="13">
      <t>ア</t>
    </rPh>
    <phoneticPr fontId="2"/>
  </si>
  <si>
    <t>屋根</t>
    <rPh sb="0" eb="2">
      <t>ヤネ</t>
    </rPh>
    <phoneticPr fontId="2"/>
  </si>
  <si>
    <t>外壁</t>
    <rPh sb="0" eb="2">
      <t>ガイヘキ</t>
    </rPh>
    <phoneticPr fontId="2"/>
  </si>
  <si>
    <t>内壁</t>
    <rPh sb="0" eb="2">
      <t>ナイヘキ</t>
    </rPh>
    <phoneticPr fontId="2"/>
  </si>
  <si>
    <t>床</t>
    <rPh sb="0" eb="1">
      <t>ユカ</t>
    </rPh>
    <phoneticPr fontId="2"/>
  </si>
  <si>
    <t>積載荷重</t>
    <rPh sb="0" eb="2">
      <t>セキサイ</t>
    </rPh>
    <rPh sb="2" eb="4">
      <t>カジュウ</t>
    </rPh>
    <phoneticPr fontId="2"/>
  </si>
  <si>
    <t>仕様の例</t>
    <rPh sb="0" eb="2">
      <t>シヨウ</t>
    </rPh>
    <rPh sb="3" eb="4">
      <t>レイ</t>
    </rPh>
    <phoneticPr fontId="2"/>
  </si>
  <si>
    <t>軽い建物</t>
    <rPh sb="0" eb="1">
      <t>カル</t>
    </rPh>
    <rPh sb="2" eb="4">
      <t>タテモノ</t>
    </rPh>
    <phoneticPr fontId="2"/>
  </si>
  <si>
    <t>屋根：屋根スレート葺</t>
    <rPh sb="0" eb="2">
      <t>ヤネ</t>
    </rPh>
    <rPh sb="3" eb="5">
      <t>ヤネ</t>
    </rPh>
    <rPh sb="9" eb="10">
      <t>ブ</t>
    </rPh>
    <phoneticPr fontId="2"/>
  </si>
  <si>
    <t>外壁：ラスモルタル塗り</t>
    <rPh sb="0" eb="2">
      <t>ガイヘキ</t>
    </rPh>
    <rPh sb="9" eb="10">
      <t>ヌ</t>
    </rPh>
    <phoneticPr fontId="2"/>
  </si>
  <si>
    <t>内壁：石膏ボード張り</t>
    <rPh sb="0" eb="2">
      <t>ナイヘキ</t>
    </rPh>
    <rPh sb="3" eb="5">
      <t>セッコウ</t>
    </rPh>
    <rPh sb="8" eb="9">
      <t>ハ</t>
    </rPh>
    <phoneticPr fontId="2"/>
  </si>
  <si>
    <t>重い建物</t>
    <rPh sb="0" eb="1">
      <t>オモ</t>
    </rPh>
    <rPh sb="2" eb="4">
      <t>タテモノ</t>
    </rPh>
    <phoneticPr fontId="2"/>
  </si>
  <si>
    <t>屋根：桟瓦葺</t>
    <rPh sb="0" eb="2">
      <t>ヤネ</t>
    </rPh>
    <rPh sb="3" eb="4">
      <t>サン</t>
    </rPh>
    <rPh sb="4" eb="5">
      <t>ガワラ</t>
    </rPh>
    <rPh sb="5" eb="6">
      <t>フ</t>
    </rPh>
    <phoneticPr fontId="2"/>
  </si>
  <si>
    <t>外壁：土塗壁</t>
    <rPh sb="0" eb="2">
      <t>ガイヘキ</t>
    </rPh>
    <rPh sb="3" eb="4">
      <t>ツチ</t>
    </rPh>
    <rPh sb="4" eb="5">
      <t>ヌ</t>
    </rPh>
    <rPh sb="5" eb="6">
      <t>カベ</t>
    </rPh>
    <phoneticPr fontId="2"/>
  </si>
  <si>
    <t>非常に
重い建物</t>
    <rPh sb="0" eb="2">
      <t>ヒジョウ</t>
    </rPh>
    <rPh sb="4" eb="5">
      <t>オモ</t>
    </rPh>
    <rPh sb="6" eb="8">
      <t>タテモノ</t>
    </rPh>
    <phoneticPr fontId="2"/>
  </si>
  <si>
    <t>屋根：土葺き瓦葺き</t>
    <rPh sb="0" eb="2">
      <t>ヤネ</t>
    </rPh>
    <rPh sb="3" eb="4">
      <t>ツチ</t>
    </rPh>
    <rPh sb="4" eb="5">
      <t>ブ</t>
    </rPh>
    <rPh sb="6" eb="8">
      <t>カワラブ</t>
    </rPh>
    <phoneticPr fontId="2"/>
  </si>
  <si>
    <t>内壁：土塗壁</t>
    <rPh sb="0" eb="2">
      <t>ナイヘキ</t>
    </rPh>
    <rPh sb="3" eb="4">
      <t>ツチ</t>
    </rPh>
    <rPh sb="4" eb="5">
      <t>ヌ</t>
    </rPh>
    <rPh sb="5" eb="6">
      <t>カベ</t>
    </rPh>
    <phoneticPr fontId="2"/>
  </si>
  <si>
    <t>鉄板葺</t>
    <rPh sb="0" eb="2">
      <t>テッパン</t>
    </rPh>
    <rPh sb="2" eb="3">
      <t>ブ</t>
    </rPh>
    <phoneticPr fontId="2"/>
  </si>
  <si>
    <t>スレート葺</t>
    <rPh sb="4" eb="5">
      <t>ブ</t>
    </rPh>
    <phoneticPr fontId="2"/>
  </si>
  <si>
    <t>その他軽量の屋根</t>
    <rPh sb="2" eb="3">
      <t>タ</t>
    </rPh>
    <rPh sb="3" eb="5">
      <t>ケイリョウ</t>
    </rPh>
    <rPh sb="6" eb="8">
      <t>ヤネ</t>
    </rPh>
    <phoneticPr fontId="2"/>
  </si>
  <si>
    <t>桟瓦葺（乾式工法）</t>
    <rPh sb="0" eb="3">
      <t>サンガワラブキ</t>
    </rPh>
    <rPh sb="4" eb="6">
      <t>カンシキ</t>
    </rPh>
    <rPh sb="6" eb="8">
      <t>コウホウ</t>
    </rPh>
    <phoneticPr fontId="2"/>
  </si>
  <si>
    <t>土葺き瓦葺（湿式）</t>
    <rPh sb="0" eb="1">
      <t>ツチ</t>
    </rPh>
    <rPh sb="1" eb="2">
      <t>ブ</t>
    </rPh>
    <rPh sb="3" eb="5">
      <t>カワラブ</t>
    </rPh>
    <rPh sb="6" eb="8">
      <t>シッシキ</t>
    </rPh>
    <phoneticPr fontId="2"/>
  </si>
  <si>
    <t>ラスモルタル塗り</t>
    <rPh sb="6" eb="7">
      <t>ヌ</t>
    </rPh>
    <phoneticPr fontId="2"/>
  </si>
  <si>
    <t>窯業系サイディング張</t>
    <rPh sb="0" eb="3">
      <t>ヨウギョウケイ</t>
    </rPh>
    <rPh sb="9" eb="10">
      <t>ハ</t>
    </rPh>
    <phoneticPr fontId="2"/>
  </si>
  <si>
    <t>鉄板張り</t>
    <rPh sb="0" eb="3">
      <t>テッパンバ</t>
    </rPh>
    <phoneticPr fontId="2"/>
  </si>
  <si>
    <t>その他軽量の外壁</t>
    <rPh sb="2" eb="3">
      <t>タ</t>
    </rPh>
    <rPh sb="3" eb="5">
      <t>ケイリョウ</t>
    </rPh>
    <rPh sb="6" eb="8">
      <t>ガイヘキ</t>
    </rPh>
    <phoneticPr fontId="2"/>
  </si>
  <si>
    <t>土塗り壁＋仕上げ材</t>
    <rPh sb="0" eb="1">
      <t>ツチ</t>
    </rPh>
    <rPh sb="1" eb="2">
      <t>ヌ</t>
    </rPh>
    <rPh sb="3" eb="4">
      <t>カベ</t>
    </rPh>
    <rPh sb="5" eb="7">
      <t>シア</t>
    </rPh>
    <rPh sb="8" eb="9">
      <t>ザイ</t>
    </rPh>
    <phoneticPr fontId="2"/>
  </si>
  <si>
    <t>ボード張り等</t>
    <rPh sb="3" eb="4">
      <t>バ</t>
    </rPh>
    <rPh sb="5" eb="6">
      <t>トウ</t>
    </rPh>
    <phoneticPr fontId="2"/>
  </si>
  <si>
    <t>土塗り壁</t>
    <rPh sb="0" eb="1">
      <t>ツチ</t>
    </rPh>
    <rPh sb="1" eb="2">
      <t>ヌ</t>
    </rPh>
    <rPh sb="3" eb="4">
      <t>カベ</t>
    </rPh>
    <phoneticPr fontId="2"/>
  </si>
  <si>
    <t>ZONE:</t>
    <phoneticPr fontId="2"/>
  </si>
  <si>
    <t>仕様</t>
    <rPh sb="0" eb="2">
      <t>シヨウ</t>
    </rPh>
    <phoneticPr fontId="2"/>
  </si>
  <si>
    <t>kＮ/㎡</t>
    <phoneticPr fontId="2"/>
  </si>
  <si>
    <t>階</t>
  </si>
  <si>
    <t>階</t>
    <rPh sb="0" eb="1">
      <t>カイ</t>
    </rPh>
    <phoneticPr fontId="1"/>
  </si>
  <si>
    <t>位置</t>
    <rPh sb="0" eb="2">
      <t>イチ</t>
    </rPh>
    <phoneticPr fontId="1"/>
  </si>
  <si>
    <t>------</t>
    <phoneticPr fontId="1"/>
  </si>
  <si>
    <t>床</t>
    <rPh sb="0" eb="1">
      <t>ユカ</t>
    </rPh>
    <phoneticPr fontId="1"/>
  </si>
  <si>
    <t>住宅一般</t>
    <rPh sb="0" eb="2">
      <t>ジュウタク</t>
    </rPh>
    <rPh sb="2" eb="4">
      <t>イッパン</t>
    </rPh>
    <phoneticPr fontId="1"/>
  </si>
  <si>
    <t>小屋裏収納</t>
    <rPh sb="0" eb="3">
      <t>コヤウラ</t>
    </rPh>
    <rPh sb="3" eb="5">
      <t>シュウノウ</t>
    </rPh>
    <phoneticPr fontId="1"/>
  </si>
  <si>
    <t>係数</t>
    <rPh sb="0" eb="2">
      <t>ケイスウ</t>
    </rPh>
    <phoneticPr fontId="1"/>
  </si>
  <si>
    <t>天井高</t>
    <rPh sb="0" eb="3">
      <t>テンジョウダカ</t>
    </rPh>
    <phoneticPr fontId="1"/>
  </si>
  <si>
    <t>2.1以上</t>
    <rPh sb="3" eb="5">
      <t>イジョウ</t>
    </rPh>
    <phoneticPr fontId="1"/>
  </si>
  <si>
    <t>1.4～2.1</t>
    <phoneticPr fontId="1"/>
  </si>
  <si>
    <t>1.0以下</t>
    <rPh sb="3" eb="5">
      <t>イカ</t>
    </rPh>
    <phoneticPr fontId="1"/>
  </si>
  <si>
    <t>1.4ｍ</t>
    <phoneticPr fontId="1"/>
  </si>
  <si>
    <t>1.3ｍ</t>
    <phoneticPr fontId="1"/>
  </si>
  <si>
    <t>1.2ｍ</t>
    <phoneticPr fontId="1"/>
  </si>
  <si>
    <t>1.1ｍ</t>
    <phoneticPr fontId="1"/>
  </si>
  <si>
    <t>kＮ/㎡</t>
  </si>
  <si>
    <t>×係数</t>
    <rPh sb="1" eb="3">
      <t>ケイスウ</t>
    </rPh>
    <phoneticPr fontId="1"/>
  </si>
  <si>
    <t>２階建部分</t>
    <rPh sb="1" eb="3">
      <t>カイダ</t>
    </rPh>
    <rPh sb="3" eb="5">
      <t>ブブン</t>
    </rPh>
    <phoneticPr fontId="1"/>
  </si>
  <si>
    <t>下屋部分</t>
    <rPh sb="0" eb="2">
      <t>ゲヤ</t>
    </rPh>
    <rPh sb="2" eb="4">
      <t>ブブン</t>
    </rPh>
    <phoneticPr fontId="1"/>
  </si>
  <si>
    <t>2階</t>
    <rPh sb="1" eb="2">
      <t>カイ</t>
    </rPh>
    <phoneticPr fontId="1"/>
  </si>
  <si>
    <t>１階</t>
    <rPh sb="1" eb="2">
      <t>カイ</t>
    </rPh>
    <phoneticPr fontId="1"/>
  </si>
  <si>
    <t>合計（kN／㎡）</t>
    <rPh sb="0" eb="2">
      <t>ゴウケイ</t>
    </rPh>
    <phoneticPr fontId="2"/>
  </si>
  <si>
    <t>----</t>
  </si>
  <si>
    <t>----</t>
    <phoneticPr fontId="1"/>
  </si>
  <si>
    <t>無し</t>
    <rPh sb="0" eb="1">
      <t>ナ</t>
    </rPh>
    <phoneticPr fontId="1"/>
  </si>
  <si>
    <t>建物は仕様別にゾーニングして下さい。ゾーン名は任意で入力できます。</t>
    <rPh sb="0" eb="2">
      <t>タテモノ</t>
    </rPh>
    <rPh sb="3" eb="5">
      <t>シヨウ</t>
    </rPh>
    <rPh sb="5" eb="6">
      <t>ベツ</t>
    </rPh>
    <rPh sb="14" eb="15">
      <t>クダ</t>
    </rPh>
    <rPh sb="21" eb="22">
      <t>メイ</t>
    </rPh>
    <rPh sb="23" eb="25">
      <t>ニンイ</t>
    </rPh>
    <rPh sb="26" eb="28">
      <t>ニュウリョク</t>
    </rPh>
    <phoneticPr fontId="2"/>
  </si>
  <si>
    <t>ZONE：Ａ</t>
    <phoneticPr fontId="2"/>
  </si>
  <si>
    <t>ZONE:Ｂ</t>
    <phoneticPr fontId="2"/>
  </si>
  <si>
    <t>ZONE:Ｃ</t>
    <phoneticPr fontId="2"/>
  </si>
  <si>
    <t>ZONE:Ａ</t>
    <phoneticPr fontId="2"/>
  </si>
  <si>
    <t>ZONE:Ｂ</t>
  </si>
  <si>
    <t>同じ仕様なら離れていても同じ名前でＯＫです。</t>
    <rPh sb="0" eb="1">
      <t>オナ</t>
    </rPh>
    <rPh sb="2" eb="4">
      <t>シヨウ</t>
    </rPh>
    <rPh sb="6" eb="7">
      <t>ハナ</t>
    </rPh>
    <rPh sb="12" eb="13">
      <t>オナ</t>
    </rPh>
    <rPh sb="14" eb="16">
      <t>ナマエ</t>
    </rPh>
    <phoneticPr fontId="2"/>
  </si>
  <si>
    <t>ゾーンは５種類までとします。</t>
    <rPh sb="5" eb="7">
      <t>シュルイ</t>
    </rPh>
    <phoneticPr fontId="2"/>
  </si>
  <si>
    <t>■　ゾーン毎　重量表</t>
    <rPh sb="5" eb="6">
      <t>ゴト</t>
    </rPh>
    <rPh sb="7" eb="9">
      <t>ジュウリョウ</t>
    </rPh>
    <rPh sb="9" eb="10">
      <t>ヒョウ</t>
    </rPh>
    <phoneticPr fontId="1"/>
  </si>
  <si>
    <t>■　建物の重量・必要耐力</t>
    <rPh sb="2" eb="4">
      <t>タテモノ</t>
    </rPh>
    <rPh sb="5" eb="7">
      <t>ジュウリョウ</t>
    </rPh>
    <rPh sb="8" eb="10">
      <t>ヒツヨウ</t>
    </rPh>
    <rPh sb="10" eb="12">
      <t>タイリョク</t>
    </rPh>
    <phoneticPr fontId="7"/>
  </si>
  <si>
    <t>■　重心の計算</t>
    <phoneticPr fontId="7"/>
  </si>
  <si>
    <t>ＺＯＮＥ</t>
    <phoneticPr fontId="7"/>
  </si>
  <si>
    <t>重量の計算</t>
  </si>
  <si>
    <t>重心の計算</t>
  </si>
  <si>
    <t>番号</t>
  </si>
  <si>
    <t>ZONE</t>
    <phoneticPr fontId="7"/>
  </si>
  <si>
    <t>大きさ</t>
  </si>
  <si>
    <t>左下から座標軸(ｍ)</t>
  </si>
  <si>
    <t>単位重量</t>
  </si>
  <si>
    <t>床面積</t>
  </si>
  <si>
    <t>重量</t>
  </si>
  <si>
    <t>備考</t>
  </si>
  <si>
    <t>重量　Ｗ</t>
  </si>
  <si>
    <t>Ｘ</t>
  </si>
  <si>
    <t>Ｙ</t>
  </si>
  <si>
    <t>Ｘ(ｍ)</t>
  </si>
  <si>
    <t>Ｙ(ｍ)</t>
  </si>
  <si>
    <t>Ｘ軸</t>
  </si>
  <si>
    <t>Ｙ軸</t>
  </si>
  <si>
    <t>㎡</t>
  </si>
  <si>
    <t>kＮ</t>
  </si>
  <si>
    <t>中心座標ｙ</t>
  </si>
  <si>
    <t>Ｗ・ｙ</t>
  </si>
  <si>
    <t>中心座標ｘ</t>
  </si>
  <si>
    <t>Ｗ・ｘ</t>
  </si>
  <si>
    <t>２</t>
  </si>
  <si>
    <t>合　　　　計</t>
  </si>
  <si>
    <t>合　計</t>
  </si>
  <si>
    <t>１</t>
  </si>
  <si>
    <t>２階建の１階部分</t>
  </si>
  <si>
    <t>２階のない部分　　(下屋)</t>
  </si>
  <si>
    <t>２階合成</t>
  </si>
  <si>
    <t>--------</t>
  </si>
  <si>
    <t>方向</t>
  </si>
  <si>
    <t>ΣＷ･y(x)</t>
  </si>
  <si>
    <t>ΣＷ</t>
  </si>
  <si>
    <t>必要耐力（Ｑｒ）の算定</t>
    <rPh sb="0" eb="2">
      <t>ヒツヨウ</t>
    </rPh>
    <rPh sb="2" eb="4">
      <t>タイリョク</t>
    </rPh>
    <rPh sb="9" eb="11">
      <t>サンテイ</t>
    </rPh>
    <phoneticPr fontId="7"/>
  </si>
  <si>
    <t>最高の高さｍ</t>
    <rPh sb="0" eb="2">
      <t>サイコウ</t>
    </rPh>
    <rPh sb="3" eb="4">
      <t>タカ</t>
    </rPh>
    <phoneticPr fontId="7"/>
  </si>
  <si>
    <t>建物の　
高さｍ</t>
    <rPh sb="0" eb="2">
      <t>タテモノ</t>
    </rPh>
    <rPh sb="5" eb="6">
      <t>タカ</t>
    </rPh>
    <phoneticPr fontId="7"/>
  </si>
  <si>
    <t>固有周期Ｔ（秒）=</t>
    <rPh sb="0" eb="2">
      <t>コユウ</t>
    </rPh>
    <rPh sb="2" eb="4">
      <t>シュウキ</t>
    </rPh>
    <rPh sb="6" eb="7">
      <t>ビョウ</t>
    </rPh>
    <phoneticPr fontId="7"/>
  </si>
  <si>
    <t>軒高　　ｍ</t>
    <rPh sb="0" eb="2">
      <t>ノキダカ</t>
    </rPh>
    <phoneticPr fontId="7"/>
  </si>
  <si>
    <t>２Ｔ／（１＋３Ｔ）=</t>
    <phoneticPr fontId="7"/>
  </si>
  <si>
    <t>階</t>
    <rPh sb="0" eb="1">
      <t>カイ</t>
    </rPh>
    <phoneticPr fontId="7"/>
  </si>
  <si>
    <t>ΣＷ kＮ</t>
    <phoneticPr fontId="7"/>
  </si>
  <si>
    <t>αi</t>
    <phoneticPr fontId="7"/>
  </si>
  <si>
    <t>Ａi</t>
    <phoneticPr fontId="7"/>
  </si>
  <si>
    <t>Ｚ</t>
    <phoneticPr fontId="7"/>
  </si>
  <si>
    <t>Ｃ0</t>
    <phoneticPr fontId="7"/>
  </si>
  <si>
    <t>Ｃi</t>
    <phoneticPr fontId="7"/>
  </si>
  <si>
    <t>Ｑｒ kＮ</t>
    <phoneticPr fontId="7"/>
  </si>
  <si>
    <t>地域係数</t>
    <rPh sb="0" eb="2">
      <t>チイキ</t>
    </rPh>
    <rPh sb="2" eb="4">
      <t>ケイスウ</t>
    </rPh>
    <phoneticPr fontId="7"/>
  </si>
  <si>
    <t>２階建部分</t>
    <rPh sb="1" eb="3">
      <t>カイダ</t>
    </rPh>
    <rPh sb="3" eb="5">
      <t>ブブン</t>
    </rPh>
    <phoneticPr fontId="7"/>
  </si>
  <si>
    <t>２階</t>
    <rPh sb="0" eb="2">
      <t>ニカイ</t>
    </rPh>
    <phoneticPr fontId="1"/>
  </si>
  <si>
    <t>1.4ｍ</t>
  </si>
  <si>
    <t>既存一般</t>
  </si>
  <si>
    <t>既存一般</t>
    <rPh sb="0" eb="2">
      <t>キゾン</t>
    </rPh>
    <rPh sb="2" eb="4">
      <t>イッパン</t>
    </rPh>
    <phoneticPr fontId="2"/>
  </si>
  <si>
    <t>既存小屋裏</t>
  </si>
  <si>
    <t>既存小屋裏</t>
    <rPh sb="0" eb="2">
      <t>キゾン</t>
    </rPh>
    <rPh sb="2" eb="5">
      <t>コヤウラ</t>
    </rPh>
    <phoneticPr fontId="2"/>
  </si>
  <si>
    <t>既存吹抜</t>
  </si>
  <si>
    <t>既存吹抜</t>
    <rPh sb="0" eb="2">
      <t>キゾン</t>
    </rPh>
    <rPh sb="2" eb="4">
      <t>フキヌケ</t>
    </rPh>
    <phoneticPr fontId="2"/>
  </si>
  <si>
    <t>増築</t>
  </si>
  <si>
    <t>増築</t>
    <rPh sb="0" eb="2">
      <t>ゾウチク</t>
    </rPh>
    <phoneticPr fontId="2"/>
  </si>
  <si>
    <t>中庭</t>
  </si>
  <si>
    <t>中庭</t>
    <rPh sb="0" eb="2">
      <t>ナカニワ</t>
    </rPh>
    <phoneticPr fontId="2"/>
  </si>
  <si>
    <t>ア</t>
    <phoneticPr fontId="7"/>
  </si>
  <si>
    <t>ウ</t>
    <phoneticPr fontId="7"/>
  </si>
  <si>
    <t>エ</t>
    <phoneticPr fontId="1"/>
  </si>
  <si>
    <t>カ</t>
    <phoneticPr fontId="1"/>
  </si>
  <si>
    <t>イ</t>
    <phoneticPr fontId="7"/>
  </si>
  <si>
    <t>オ</t>
    <phoneticPr fontId="7"/>
  </si>
  <si>
    <t>ク</t>
    <phoneticPr fontId="7"/>
  </si>
  <si>
    <t>キ</t>
    <phoneticPr fontId="1"/>
  </si>
  <si>
    <t>ケ</t>
    <phoneticPr fontId="1"/>
  </si>
  <si>
    <t>階</t>
    <rPh sb="0" eb="1">
      <t>カイ</t>
    </rPh>
    <phoneticPr fontId="2"/>
  </si>
  <si>
    <t>偏心率</t>
    <rPh sb="0" eb="3">
      <t>ヘンシンリツ</t>
    </rPh>
    <phoneticPr fontId="2"/>
  </si>
  <si>
    <t>方向</t>
    <rPh sb="0" eb="2">
      <t>ホウコウ</t>
    </rPh>
    <phoneticPr fontId="2"/>
  </si>
  <si>
    <t>低減係数</t>
    <rPh sb="0" eb="2">
      <t>テイゲン</t>
    </rPh>
    <rPh sb="2" eb="4">
      <t>ケイスウ</t>
    </rPh>
    <phoneticPr fontId="2"/>
  </si>
  <si>
    <t>eKfl</t>
    <phoneticPr fontId="2"/>
  </si>
  <si>
    <t>X</t>
    <phoneticPr fontId="2"/>
  </si>
  <si>
    <t>Y</t>
    <phoneticPr fontId="2"/>
  </si>
  <si>
    <t>壁・柱の耐力</t>
    <rPh sb="0" eb="1">
      <t>カベ</t>
    </rPh>
    <rPh sb="2" eb="3">
      <t>ハシラ</t>
    </rPh>
    <rPh sb="4" eb="6">
      <t>タイリョク</t>
    </rPh>
    <phoneticPr fontId="2"/>
  </si>
  <si>
    <t>配置低減</t>
    <rPh sb="0" eb="2">
      <t>ハイチ</t>
    </rPh>
    <rPh sb="2" eb="4">
      <t>テイゲン</t>
    </rPh>
    <phoneticPr fontId="2"/>
  </si>
  <si>
    <t>保有する耐力</t>
    <rPh sb="0" eb="2">
      <t>ホユウ</t>
    </rPh>
    <rPh sb="4" eb="6">
      <t>タイリョク</t>
    </rPh>
    <phoneticPr fontId="2"/>
  </si>
  <si>
    <t>必要耐力</t>
    <rPh sb="0" eb="2">
      <t>ヒツヨウ</t>
    </rPh>
    <rPh sb="2" eb="4">
      <t>タイリョク</t>
    </rPh>
    <phoneticPr fontId="2"/>
  </si>
  <si>
    <t>上部構造評点</t>
    <rPh sb="0" eb="2">
      <t>ジョウブ</t>
    </rPh>
    <rPh sb="2" eb="4">
      <t>コウゾウ</t>
    </rPh>
    <rPh sb="4" eb="6">
      <t>ヒョウテン</t>
    </rPh>
    <phoneticPr fontId="2"/>
  </si>
  <si>
    <t>Qu(kN)</t>
    <phoneticPr fontId="2"/>
  </si>
  <si>
    <t>edQu(kN)</t>
    <phoneticPr fontId="2"/>
  </si>
  <si>
    <t>Qr(kN)</t>
    <phoneticPr fontId="2"/>
  </si>
  <si>
    <t>edQu/Qr</t>
    <phoneticPr fontId="2"/>
  </si>
  <si>
    <t>■　偏心率の算定</t>
    <rPh sb="2" eb="5">
      <t>ヘンシンリツ</t>
    </rPh>
    <rPh sb="6" eb="8">
      <t>サンテイ</t>
    </rPh>
    <phoneticPr fontId="2"/>
  </si>
  <si>
    <t>重心距離(ｍ)</t>
    <rPh sb="2" eb="4">
      <t>キョリ</t>
    </rPh>
    <phoneticPr fontId="1"/>
  </si>
  <si>
    <t>２Ｇｙ</t>
    <phoneticPr fontId="1"/>
  </si>
  <si>
    <t>２Ｇｘ</t>
    <phoneticPr fontId="1"/>
  </si>
  <si>
    <t>１Ｇｙ</t>
    <phoneticPr fontId="1"/>
  </si>
  <si>
    <t>１Ｇｘ</t>
    <phoneticPr fontId="1"/>
  </si>
  <si>
    <t>■　耐力要素の配置等による低減係数</t>
    <rPh sb="2" eb="4">
      <t>タイリョク</t>
    </rPh>
    <rPh sb="4" eb="6">
      <t>ヨウソ</t>
    </rPh>
    <rPh sb="7" eb="9">
      <t>ハイチ</t>
    </rPh>
    <rPh sb="9" eb="10">
      <t>トウ</t>
    </rPh>
    <rPh sb="13" eb="15">
      <t>テイゲン</t>
    </rPh>
    <rPh sb="15" eb="17">
      <t>ケイスウ</t>
    </rPh>
    <phoneticPr fontId="2"/>
  </si>
  <si>
    <t>■　上部構造評点</t>
    <rPh sb="2" eb="4">
      <t>ジョウブ</t>
    </rPh>
    <rPh sb="4" eb="6">
      <t>コウゾウ</t>
    </rPh>
    <rPh sb="6" eb="8">
      <t>ヒョウテン</t>
    </rPh>
    <phoneticPr fontId="2"/>
  </si>
  <si>
    <t>方向</t>
    <rPh sb="0" eb="2">
      <t>ホウコウ</t>
    </rPh>
    <phoneticPr fontId="1"/>
  </si>
  <si>
    <t>重心</t>
    <rPh sb="0" eb="2">
      <t>ジュウシン</t>
    </rPh>
    <phoneticPr fontId="1"/>
  </si>
  <si>
    <t>剛心</t>
    <rPh sb="0" eb="2">
      <t>ゴウシン</t>
    </rPh>
    <phoneticPr fontId="1"/>
  </si>
  <si>
    <t>偏心距離</t>
    <rPh sb="0" eb="2">
      <t>ヘンシン</t>
    </rPh>
    <rPh sb="2" eb="4">
      <t>キョリ</t>
    </rPh>
    <phoneticPr fontId="1"/>
  </si>
  <si>
    <t>弾力半径</t>
    <rPh sb="0" eb="2">
      <t>ダンリョク</t>
    </rPh>
    <rPh sb="2" eb="4">
      <t>ハンケイ</t>
    </rPh>
    <phoneticPr fontId="1"/>
  </si>
  <si>
    <t>偏心率</t>
    <rPh sb="0" eb="3">
      <t>ヘンシンリツ</t>
    </rPh>
    <phoneticPr fontId="1"/>
  </si>
  <si>
    <t>Ｇ(x,y)</t>
    <phoneticPr fontId="1"/>
  </si>
  <si>
    <t>Ｓ(x,y)</t>
    <phoneticPr fontId="1"/>
  </si>
  <si>
    <t>ｅ(x,y)</t>
    <phoneticPr fontId="1"/>
  </si>
  <si>
    <t>re(x,y)</t>
    <phoneticPr fontId="1"/>
  </si>
  <si>
    <t>Ｒe(x,y)</t>
    <phoneticPr fontId="1"/>
  </si>
  <si>
    <t>短辺割増対象</t>
    <rPh sb="0" eb="2">
      <t>タンペン</t>
    </rPh>
    <rPh sb="2" eb="4">
      <t>ワリマシ</t>
    </rPh>
    <rPh sb="4" eb="6">
      <t>タイショウ</t>
    </rPh>
    <phoneticPr fontId="1"/>
  </si>
  <si>
    <t>単位：ｋN／㎡</t>
  </si>
  <si>
    <t>短辺割増</t>
    <rPh sb="0" eb="2">
      <t>タンペン</t>
    </rPh>
    <rPh sb="2" eb="4">
      <t>ワリマシ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</si>
</sst>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0_ "/>
  </numFmts>
  <fonts count="9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HG丸ｺﾞｼｯｸM-PRO"/>
      <family val="3"/>
      <charset val="128"/>
    </font>
    <font>
      <sz val="9"/>
      <color theme="1"/>
      <name val="HG丸ｺﾞｼｯｸM-PRO"/>
      <family val="2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AFEC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23"/>
      </left>
      <right/>
      <top style="thin">
        <color theme="1"/>
      </top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23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theme="1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8"/>
      </left>
      <right/>
      <top style="thin">
        <color indexed="2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theme="1"/>
      </right>
      <top style="thin">
        <color theme="1"/>
      </top>
      <bottom/>
      <diagonal/>
    </border>
    <border>
      <left style="thin">
        <color indexed="23"/>
      </left>
      <right style="thin">
        <color theme="1"/>
      </right>
      <top style="thin">
        <color indexed="23"/>
      </top>
      <bottom/>
      <diagonal/>
    </border>
    <border>
      <left style="thin">
        <color theme="1"/>
      </left>
      <right/>
      <top style="thin">
        <color indexed="23"/>
      </top>
      <bottom style="thin">
        <color theme="1"/>
      </bottom>
      <diagonal/>
    </border>
    <border>
      <left style="thin">
        <color indexed="23"/>
      </left>
      <right/>
      <top style="thin">
        <color indexed="23"/>
      </top>
      <bottom style="thin">
        <color theme="1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theme="1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indexed="23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 style="thin">
        <color indexed="23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indexed="23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23"/>
      </right>
      <top style="thin">
        <color indexed="8"/>
      </top>
      <bottom style="hair">
        <color theme="1"/>
      </bottom>
      <diagonal/>
    </border>
    <border>
      <left style="thin">
        <color indexed="23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23"/>
      </right>
      <top style="hair">
        <color theme="1"/>
      </top>
      <bottom style="hair">
        <color theme="1"/>
      </bottom>
      <diagonal/>
    </border>
    <border>
      <left style="thin">
        <color indexed="23"/>
      </left>
      <right style="hair">
        <color theme="1"/>
      </right>
      <top style="hair">
        <color theme="1"/>
      </top>
      <bottom style="thin">
        <color indexed="23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23"/>
      </bottom>
      <diagonal/>
    </border>
    <border>
      <left style="hair">
        <color theme="1"/>
      </left>
      <right style="thin">
        <color indexed="23"/>
      </right>
      <top style="hair">
        <color theme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hair">
        <color theme="1"/>
      </bottom>
      <diagonal/>
    </border>
    <border>
      <left style="thin">
        <color indexed="23"/>
      </left>
      <right style="thin">
        <color indexed="23"/>
      </right>
      <top style="hair">
        <color theme="1"/>
      </top>
      <bottom style="hair">
        <color theme="1"/>
      </bottom>
      <diagonal/>
    </border>
    <border>
      <left style="thin">
        <color indexed="23"/>
      </left>
      <right style="thin">
        <color indexed="23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8"/>
      </bottom>
      <diagonal/>
    </border>
    <border>
      <left/>
      <right style="thin">
        <color indexed="23"/>
      </right>
      <top style="thin">
        <color theme="1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hair">
        <color theme="1"/>
      </bottom>
      <diagonal/>
    </border>
    <border>
      <left style="thin">
        <color indexed="23"/>
      </left>
      <right style="thin">
        <color indexed="8"/>
      </right>
      <top style="hair">
        <color theme="1"/>
      </top>
      <bottom style="hair">
        <color theme="1"/>
      </bottom>
      <diagonal/>
    </border>
    <border>
      <left style="thin">
        <color indexed="23"/>
      </left>
      <right style="thin">
        <color indexed="8"/>
      </right>
      <top style="hair">
        <color theme="1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0" xfId="0" applyFill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1" xfId="0" quotePrefix="1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8" borderId="16" xfId="0" applyFill="1" applyBorder="1" applyAlignment="1"/>
    <xf numFmtId="0" fontId="0" fillId="8" borderId="17" xfId="0" applyFill="1" applyBorder="1" applyAlignment="1"/>
    <xf numFmtId="0" fontId="0" fillId="8" borderId="18" xfId="0" applyFill="1" applyBorder="1" applyAlignment="1"/>
    <xf numFmtId="0" fontId="0" fillId="8" borderId="19" xfId="0" applyFill="1" applyBorder="1" applyAlignment="1"/>
    <xf numFmtId="0" fontId="0" fillId="8" borderId="0" xfId="0" applyFill="1" applyAlignment="1"/>
    <xf numFmtId="0" fontId="0" fillId="9" borderId="16" xfId="0" applyFill="1" applyBorder="1" applyAlignment="1"/>
    <xf numFmtId="0" fontId="0" fillId="9" borderId="18" xfId="0" applyFill="1" applyBorder="1" applyAlignment="1"/>
    <xf numFmtId="0" fontId="0" fillId="9" borderId="19" xfId="0" applyFill="1" applyBorder="1" applyAlignment="1"/>
    <xf numFmtId="0" fontId="0" fillId="9" borderId="20" xfId="0" applyFill="1" applyBorder="1" applyAlignment="1"/>
    <xf numFmtId="0" fontId="0" fillId="10" borderId="21" xfId="0" applyFill="1" applyBorder="1" applyAlignment="1"/>
    <xf numFmtId="0" fontId="0" fillId="10" borderId="22" xfId="0" applyFill="1" applyBorder="1" applyAlignment="1">
      <alignment horizontal="center"/>
    </xf>
    <xf numFmtId="0" fontId="0" fillId="10" borderId="22" xfId="0" applyFill="1" applyBorder="1" applyAlignment="1"/>
    <xf numFmtId="0" fontId="0" fillId="8" borderId="23" xfId="0" applyFill="1" applyBorder="1" applyAlignment="1"/>
    <xf numFmtId="0" fontId="0" fillId="9" borderId="24" xfId="0" applyFill="1" applyBorder="1" applyAlignment="1"/>
    <xf numFmtId="0" fontId="0" fillId="9" borderId="25" xfId="0" applyFill="1" applyBorder="1" applyAlignment="1"/>
    <xf numFmtId="0" fontId="0" fillId="10" borderId="26" xfId="0" applyFill="1" applyBorder="1" applyAlignment="1"/>
    <xf numFmtId="0" fontId="0" fillId="8" borderId="24" xfId="0" applyFill="1" applyBorder="1" applyAlignment="1"/>
    <xf numFmtId="0" fontId="0" fillId="8" borderId="25" xfId="0" applyFill="1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2" fontId="5" fillId="3" borderId="33" xfId="0" applyNumberFormat="1" applyFont="1" applyFill="1" applyBorder="1" applyAlignment="1">
      <alignment horizontal="center" vertical="center"/>
    </xf>
    <xf numFmtId="177" fontId="5" fillId="3" borderId="33" xfId="0" applyNumberFormat="1" applyFont="1" applyFill="1" applyBorder="1" applyAlignment="1">
      <alignment horizontal="center" vertical="center"/>
    </xf>
    <xf numFmtId="177" fontId="5" fillId="4" borderId="30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/>
    <xf numFmtId="177" fontId="5" fillId="2" borderId="33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177" fontId="6" fillId="3" borderId="30" xfId="0" applyNumberFormat="1" applyFont="1" applyFill="1" applyBorder="1" applyAlignment="1">
      <alignment horizontal="center" vertical="center"/>
    </xf>
    <xf numFmtId="177" fontId="6" fillId="3" borderId="37" xfId="0" applyNumberFormat="1" applyFont="1" applyFill="1" applyBorder="1" applyAlignment="1">
      <alignment horizontal="center" vertical="center"/>
    </xf>
    <xf numFmtId="177" fontId="6" fillId="3" borderId="43" xfId="0" applyNumberFormat="1" applyFont="1" applyFill="1" applyBorder="1" applyAlignment="1">
      <alignment horizontal="center" vertical="center"/>
    </xf>
    <xf numFmtId="177" fontId="6" fillId="3" borderId="44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177" fontId="6" fillId="3" borderId="33" xfId="0" applyNumberFormat="1" applyFont="1" applyFill="1" applyBorder="1" applyAlignment="1">
      <alignment horizontal="center" vertical="center"/>
    </xf>
    <xf numFmtId="177" fontId="6" fillId="3" borderId="36" xfId="0" applyNumberFormat="1" applyFont="1" applyFill="1" applyBorder="1" applyAlignment="1">
      <alignment horizontal="center" vertical="center"/>
    </xf>
    <xf numFmtId="177" fontId="6" fillId="3" borderId="32" xfId="0" applyNumberFormat="1" applyFont="1" applyFill="1" applyBorder="1" applyAlignment="1">
      <alignment horizontal="center" vertical="center"/>
    </xf>
    <xf numFmtId="177" fontId="6" fillId="3" borderId="39" xfId="0" applyNumberFormat="1" applyFont="1" applyFill="1" applyBorder="1" applyAlignment="1">
      <alignment horizontal="center" vertical="center"/>
    </xf>
    <xf numFmtId="177" fontId="6" fillId="2" borderId="37" xfId="0" applyNumberFormat="1" applyFont="1" applyFill="1" applyBorder="1" applyAlignment="1">
      <alignment horizontal="center" vertical="center"/>
    </xf>
    <xf numFmtId="177" fontId="6" fillId="2" borderId="43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77" fontId="6" fillId="3" borderId="46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77" fontId="6" fillId="4" borderId="33" xfId="0" applyNumberFormat="1" applyFont="1" applyFill="1" applyBorder="1" applyAlignment="1">
      <alignment horizontal="center" vertical="center"/>
    </xf>
    <xf numFmtId="177" fontId="6" fillId="4" borderId="39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77" fontId="6" fillId="4" borderId="41" xfId="0" applyNumberFormat="1" applyFont="1" applyFill="1" applyBorder="1" applyAlignment="1">
      <alignment horizontal="center" vertical="center"/>
    </xf>
    <xf numFmtId="177" fontId="6" fillId="4" borderId="42" xfId="0" applyNumberFormat="1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177" fontId="5" fillId="3" borderId="48" xfId="0" applyNumberFormat="1" applyFont="1" applyFill="1" applyBorder="1" applyAlignment="1">
      <alignment horizontal="center" vertical="center"/>
    </xf>
    <xf numFmtId="2" fontId="5" fillId="3" borderId="49" xfId="0" applyNumberFormat="1" applyFont="1" applyFill="1" applyBorder="1" applyAlignment="1">
      <alignment horizontal="center" vertical="center"/>
    </xf>
    <xf numFmtId="177" fontId="5" fillId="3" borderId="50" xfId="0" applyNumberFormat="1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177" fontId="5" fillId="3" borderId="52" xfId="0" applyNumberFormat="1" applyFont="1" applyFill="1" applyBorder="1" applyAlignment="1">
      <alignment horizontal="center" vertical="center"/>
    </xf>
    <xf numFmtId="2" fontId="5" fillId="3" borderId="52" xfId="0" applyNumberFormat="1" applyFont="1" applyFill="1" applyBorder="1" applyAlignment="1">
      <alignment horizontal="center" vertical="center"/>
    </xf>
    <xf numFmtId="177" fontId="5" fillId="3" borderId="53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7" fontId="5" fillId="0" borderId="52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77" fontId="5" fillId="0" borderId="55" xfId="0" applyNumberFormat="1" applyFont="1" applyBorder="1" applyAlignment="1">
      <alignment horizontal="center" vertical="center"/>
    </xf>
    <xf numFmtId="2" fontId="5" fillId="3" borderId="55" xfId="0" applyNumberFormat="1" applyFont="1" applyFill="1" applyBorder="1" applyAlignment="1">
      <alignment horizontal="center" vertical="center"/>
    </xf>
    <xf numFmtId="177" fontId="5" fillId="3" borderId="55" xfId="0" applyNumberFormat="1" applyFont="1" applyFill="1" applyBorder="1" applyAlignment="1">
      <alignment horizontal="center" vertical="center"/>
    </xf>
    <xf numFmtId="177" fontId="5" fillId="3" borderId="5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0" fillId="11" borderId="1" xfId="0" applyNumberForma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11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2" fontId="8" fillId="7" borderId="1" xfId="0" applyNumberFormat="1" applyFont="1" applyFill="1" applyBorder="1" applyAlignment="1">
      <alignment horizontal="center" vertical="center" wrapText="1"/>
    </xf>
    <xf numFmtId="178" fontId="0" fillId="7" borderId="1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2" fontId="6" fillId="11" borderId="1" xfId="0" applyNumberFormat="1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177" fontId="6" fillId="3" borderId="62" xfId="0" applyNumberFormat="1" applyFont="1" applyFill="1" applyBorder="1" applyAlignment="1">
      <alignment horizontal="center" vertical="center"/>
    </xf>
    <xf numFmtId="177" fontId="6" fillId="3" borderId="63" xfId="0" applyNumberFormat="1" applyFont="1" applyFill="1" applyBorder="1" applyAlignment="1">
      <alignment horizontal="center" vertical="center"/>
    </xf>
    <xf numFmtId="177" fontId="6" fillId="3" borderId="64" xfId="0" applyNumberFormat="1" applyFont="1" applyFill="1" applyBorder="1" applyAlignment="1">
      <alignment horizontal="center" vertical="center"/>
    </xf>
    <xf numFmtId="177" fontId="6" fillId="7" borderId="30" xfId="0" applyNumberFormat="1" applyFont="1" applyFill="1" applyBorder="1" applyAlignment="1">
      <alignment horizontal="center" vertical="center"/>
    </xf>
    <xf numFmtId="177" fontId="6" fillId="2" borderId="33" xfId="0" applyNumberFormat="1" applyFont="1" applyFill="1" applyBorder="1" applyAlignment="1">
      <alignment horizontal="center" vertical="center"/>
    </xf>
    <xf numFmtId="177" fontId="6" fillId="7" borderId="28" xfId="0" applyNumberFormat="1" applyFont="1" applyFill="1" applyBorder="1" applyAlignment="1">
      <alignment horizontal="center" vertical="center"/>
    </xf>
    <xf numFmtId="2" fontId="6" fillId="3" borderId="33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BAFECF"/>
      <color rgb="FF96FE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aishin-chita\data\seimitu37-4.xls" TargetMode="External"/><Relationship Id="rId1" Type="http://schemas.openxmlformats.org/officeDocument/2006/relationships/externalLinkPath" Target="seimitu3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重量表"/>
      <sheetName val="必要耐力・重心"/>
      <sheetName val="剛心"/>
      <sheetName val="弾力半径"/>
      <sheetName val="結果集計"/>
    </sheetNames>
    <sheetDataSet>
      <sheetData sheetId="0">
        <row r="3">
          <cell r="W3" t="str">
            <v>鉄板葺</v>
          </cell>
        </row>
        <row r="4">
          <cell r="W4" t="str">
            <v>スレート葺</v>
          </cell>
        </row>
        <row r="5">
          <cell r="W5" t="str">
            <v>その他軽量の屋根</v>
          </cell>
        </row>
        <row r="6">
          <cell r="W6" t="str">
            <v>桟瓦葺（乾式工法）</v>
          </cell>
        </row>
        <row r="7">
          <cell r="W7" t="str">
            <v>土葺き瓦葺（湿式）</v>
          </cell>
        </row>
        <row r="10">
          <cell r="W10" t="str">
            <v>ラスモルタル塗り</v>
          </cell>
        </row>
        <row r="11">
          <cell r="W11" t="str">
            <v>窯業系サイディング張</v>
          </cell>
        </row>
        <row r="12">
          <cell r="W12" t="str">
            <v>鉄板張り</v>
          </cell>
        </row>
        <row r="13">
          <cell r="W13" t="str">
            <v>その他軽量の外壁</v>
          </cell>
        </row>
        <row r="14">
          <cell r="W14" t="str">
            <v>土塗り壁＋仕上げ材</v>
          </cell>
        </row>
        <row r="17">
          <cell r="W17" t="str">
            <v>ボード張り等</v>
          </cell>
        </row>
        <row r="18">
          <cell r="W18" t="str">
            <v>土塗り壁</v>
          </cell>
        </row>
      </sheetData>
      <sheetData sheetId="1">
        <row r="3">
          <cell r="F3" t="str">
            <v>①二層</v>
          </cell>
        </row>
        <row r="4">
          <cell r="F4" t="str">
            <v>①下屋</v>
          </cell>
        </row>
        <row r="5">
          <cell r="F5" t="str">
            <v>②二層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160E-7CD2-4FC7-90DD-E6D0E2E4790A}">
  <dimension ref="B1:Z103"/>
  <sheetViews>
    <sheetView tabSelected="1" workbookViewId="0">
      <selection activeCell="K43" sqref="K43"/>
    </sheetView>
  </sheetViews>
  <sheetFormatPr defaultRowHeight="13.5" x14ac:dyDescent="0.15"/>
  <cols>
    <col min="1" max="1" width="1.54296875" customWidth="1"/>
    <col min="2" max="2" width="3.7265625" customWidth="1"/>
    <col min="3" max="3" width="7.453125" customWidth="1"/>
    <col min="4" max="11" width="5.81640625" customWidth="1"/>
    <col min="12" max="12" width="1.81640625" customWidth="1"/>
    <col min="13" max="13" width="5.1796875" customWidth="1"/>
    <col min="14" max="21" width="6.81640625" customWidth="1"/>
  </cols>
  <sheetData>
    <row r="1" spans="2:24" ht="20.25" customHeight="1" x14ac:dyDescent="0.15">
      <c r="B1" t="s">
        <v>66</v>
      </c>
    </row>
    <row r="3" spans="2:24" ht="35.25" customHeight="1" x14ac:dyDescent="0.15">
      <c r="B3" t="s">
        <v>0</v>
      </c>
    </row>
    <row r="4" spans="2:24" ht="21.75" customHeight="1" x14ac:dyDescent="0.15">
      <c r="B4" s="149"/>
      <c r="C4" s="150"/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49" t="s">
        <v>6</v>
      </c>
      <c r="J4" s="170"/>
      <c r="K4" s="150"/>
      <c r="N4" s="11" t="s">
        <v>58</v>
      </c>
      <c r="O4" s="11"/>
      <c r="P4" s="11"/>
      <c r="Q4" s="11"/>
      <c r="R4" s="11"/>
      <c r="S4" s="11"/>
      <c r="T4" s="11"/>
      <c r="W4" s="11" t="s">
        <v>1</v>
      </c>
      <c r="X4" t="s">
        <v>57</v>
      </c>
    </row>
    <row r="5" spans="2:24" x14ac:dyDescent="0.15">
      <c r="B5" s="155" t="s">
        <v>7</v>
      </c>
      <c r="C5" s="156"/>
      <c r="D5" s="169">
        <v>0.95</v>
      </c>
      <c r="E5" s="169">
        <v>0.75</v>
      </c>
      <c r="F5" s="169">
        <v>0.2</v>
      </c>
      <c r="G5" s="169">
        <v>0.6</v>
      </c>
      <c r="H5" s="169">
        <v>0.6</v>
      </c>
      <c r="I5" s="2" t="s">
        <v>8</v>
      </c>
      <c r="J5" s="3"/>
      <c r="K5" s="4"/>
      <c r="N5" s="11" t="s">
        <v>65</v>
      </c>
      <c r="O5" s="11"/>
      <c r="P5" s="11"/>
      <c r="Q5" s="11"/>
      <c r="R5" s="11"/>
      <c r="S5" s="11"/>
      <c r="T5" s="11"/>
      <c r="X5" s="11" t="s">
        <v>17</v>
      </c>
    </row>
    <row r="6" spans="2:24" ht="14.25" thickBot="1" x14ac:dyDescent="0.2">
      <c r="B6" s="161"/>
      <c r="C6" s="162"/>
      <c r="D6" s="169"/>
      <c r="E6" s="169"/>
      <c r="F6" s="169"/>
      <c r="G6" s="169"/>
      <c r="H6" s="169"/>
      <c r="I6" s="5" t="s">
        <v>9</v>
      </c>
      <c r="J6" s="6"/>
      <c r="K6" s="7"/>
      <c r="N6" s="11"/>
      <c r="O6" s="11"/>
      <c r="P6" s="11"/>
      <c r="Q6" s="11"/>
      <c r="R6" s="11"/>
      <c r="S6" s="11"/>
      <c r="T6" s="11"/>
      <c r="X6" s="11" t="s">
        <v>18</v>
      </c>
    </row>
    <row r="7" spans="2:24" ht="14.25" thickBot="1" x14ac:dyDescent="0.2">
      <c r="B7" s="157"/>
      <c r="C7" s="158"/>
      <c r="D7" s="169"/>
      <c r="E7" s="169"/>
      <c r="F7" s="169"/>
      <c r="G7" s="169"/>
      <c r="H7" s="169"/>
      <c r="I7" s="8" t="s">
        <v>10</v>
      </c>
      <c r="J7" s="9"/>
      <c r="K7" s="10"/>
      <c r="N7" s="11"/>
      <c r="O7" s="21"/>
      <c r="P7" s="22"/>
      <c r="Q7" s="23"/>
      <c r="R7" s="11"/>
      <c r="S7" s="11"/>
      <c r="T7" s="11"/>
      <c r="X7" s="11" t="s">
        <v>19</v>
      </c>
    </row>
    <row r="8" spans="2:24" x14ac:dyDescent="0.15">
      <c r="B8" s="155" t="s">
        <v>11</v>
      </c>
      <c r="C8" s="156"/>
      <c r="D8" s="169">
        <v>1.3</v>
      </c>
      <c r="E8" s="169">
        <v>1.2</v>
      </c>
      <c r="F8" s="169">
        <v>0.2</v>
      </c>
      <c r="G8" s="169">
        <v>0.6</v>
      </c>
      <c r="H8" s="169">
        <v>0.6</v>
      </c>
      <c r="I8" s="2" t="s">
        <v>12</v>
      </c>
      <c r="J8" s="3"/>
      <c r="K8" s="4"/>
      <c r="N8" s="11"/>
      <c r="O8" s="24"/>
      <c r="P8" s="25" t="s">
        <v>59</v>
      </c>
      <c r="Q8" s="25"/>
      <c r="R8" s="26"/>
      <c r="S8" s="27"/>
      <c r="T8" s="11"/>
      <c r="X8" s="11" t="s">
        <v>20</v>
      </c>
    </row>
    <row r="9" spans="2:24" x14ac:dyDescent="0.15">
      <c r="B9" s="161"/>
      <c r="C9" s="162"/>
      <c r="D9" s="169"/>
      <c r="E9" s="169"/>
      <c r="F9" s="169"/>
      <c r="G9" s="169"/>
      <c r="H9" s="169"/>
      <c r="I9" s="5" t="s">
        <v>13</v>
      </c>
      <c r="J9" s="6"/>
      <c r="K9" s="7"/>
      <c r="N9" s="11"/>
      <c r="O9" s="24"/>
      <c r="P9" s="25"/>
      <c r="Q9" s="25"/>
      <c r="R9" s="28"/>
      <c r="S9" s="29"/>
      <c r="T9" s="11"/>
      <c r="X9" s="11" t="s">
        <v>21</v>
      </c>
    </row>
    <row r="10" spans="2:24" ht="14.25" thickBot="1" x14ac:dyDescent="0.2">
      <c r="B10" s="157"/>
      <c r="C10" s="158"/>
      <c r="D10" s="169"/>
      <c r="E10" s="169"/>
      <c r="F10" s="169"/>
      <c r="G10" s="169"/>
      <c r="H10" s="169"/>
      <c r="I10" s="8" t="s">
        <v>10</v>
      </c>
      <c r="J10" s="9"/>
      <c r="K10" s="10"/>
      <c r="N10" s="11"/>
      <c r="O10" s="24"/>
      <c r="P10" s="25"/>
      <c r="Q10" s="25"/>
      <c r="R10" s="141" t="s">
        <v>60</v>
      </c>
      <c r="S10" s="142"/>
      <c r="T10" s="11"/>
      <c r="X10" s="11"/>
    </row>
    <row r="11" spans="2:24" ht="13.5" customHeight="1" x14ac:dyDescent="0.15">
      <c r="B11" s="163" t="s">
        <v>14</v>
      </c>
      <c r="C11" s="164"/>
      <c r="D11" s="169">
        <v>2.4</v>
      </c>
      <c r="E11" s="169">
        <v>1.2</v>
      </c>
      <c r="F11" s="169">
        <v>0.45</v>
      </c>
      <c r="G11" s="169">
        <v>0.6</v>
      </c>
      <c r="H11" s="169">
        <v>0.6</v>
      </c>
      <c r="I11" s="2" t="s">
        <v>15</v>
      </c>
      <c r="J11" s="3"/>
      <c r="K11" s="4"/>
      <c r="N11" s="30"/>
      <c r="O11" s="25"/>
      <c r="P11" s="25"/>
      <c r="Q11" s="25"/>
      <c r="R11" s="28"/>
      <c r="S11" s="29"/>
      <c r="T11" s="11"/>
      <c r="W11" s="11" t="s">
        <v>2</v>
      </c>
      <c r="X11" s="11" t="s">
        <v>57</v>
      </c>
    </row>
    <row r="12" spans="2:24" x14ac:dyDescent="0.15">
      <c r="B12" s="165"/>
      <c r="C12" s="166"/>
      <c r="D12" s="169"/>
      <c r="E12" s="169"/>
      <c r="F12" s="169"/>
      <c r="G12" s="169"/>
      <c r="H12" s="169"/>
      <c r="I12" s="5" t="s">
        <v>13</v>
      </c>
      <c r="J12" s="6"/>
      <c r="K12" s="7"/>
      <c r="N12" s="31" t="s">
        <v>61</v>
      </c>
      <c r="O12" s="25"/>
      <c r="P12" s="25"/>
      <c r="Q12" s="25"/>
      <c r="R12" s="28"/>
      <c r="S12" s="29"/>
      <c r="T12" s="11"/>
      <c r="X12" s="11" t="s">
        <v>22</v>
      </c>
    </row>
    <row r="13" spans="2:24" ht="14.25" thickBot="1" x14ac:dyDescent="0.2">
      <c r="B13" s="167"/>
      <c r="C13" s="168"/>
      <c r="D13" s="169"/>
      <c r="E13" s="169"/>
      <c r="F13" s="169"/>
      <c r="G13" s="169"/>
      <c r="H13" s="169"/>
      <c r="I13" s="8" t="s">
        <v>16</v>
      </c>
      <c r="J13" s="9"/>
      <c r="K13" s="10"/>
      <c r="N13" s="32"/>
      <c r="O13" s="33"/>
      <c r="P13" s="33"/>
      <c r="Q13" s="33"/>
      <c r="R13" s="28"/>
      <c r="S13" s="29"/>
      <c r="T13" s="11"/>
      <c r="X13" s="11" t="s">
        <v>23</v>
      </c>
    </row>
    <row r="14" spans="2:24" ht="20.100000000000001" customHeight="1" thickBot="1" x14ac:dyDescent="0.2">
      <c r="N14" s="32"/>
      <c r="O14" s="11"/>
      <c r="P14" s="11"/>
      <c r="Q14" s="11"/>
      <c r="R14" s="34"/>
      <c r="S14" s="35"/>
      <c r="T14" s="11"/>
      <c r="X14" s="11" t="s">
        <v>24</v>
      </c>
    </row>
    <row r="15" spans="2:24" ht="20.100000000000001" customHeight="1" x14ac:dyDescent="0.15">
      <c r="N15" s="32"/>
      <c r="O15" s="11"/>
      <c r="P15" s="11"/>
      <c r="Q15" s="11"/>
      <c r="R15" s="11"/>
      <c r="S15" s="11"/>
      <c r="T15" s="11"/>
      <c r="X15" s="11" t="s">
        <v>25</v>
      </c>
    </row>
    <row r="16" spans="2:24" ht="20.100000000000001" customHeight="1" thickBot="1" x14ac:dyDescent="0.2">
      <c r="C16" s="12" t="s">
        <v>29</v>
      </c>
      <c r="D16" s="154" t="s">
        <v>123</v>
      </c>
      <c r="E16" s="154"/>
      <c r="N16" s="36"/>
      <c r="O16" s="11"/>
      <c r="P16" s="11"/>
      <c r="Q16" s="11"/>
      <c r="R16" s="11"/>
      <c r="S16" s="11"/>
      <c r="T16" s="11"/>
      <c r="X16" s="11" t="s">
        <v>26</v>
      </c>
    </row>
    <row r="17" spans="2:26" ht="20.100000000000001" customHeight="1" x14ac:dyDescent="0.15">
      <c r="B17" s="145" t="s">
        <v>33</v>
      </c>
      <c r="C17" s="145" t="s">
        <v>34</v>
      </c>
      <c r="D17" s="155" t="s">
        <v>30</v>
      </c>
      <c r="E17" s="156"/>
      <c r="F17" s="145" t="s">
        <v>31</v>
      </c>
      <c r="G17" s="147" t="s">
        <v>39</v>
      </c>
      <c r="H17" s="1" t="s">
        <v>49</v>
      </c>
      <c r="I17" s="149" t="s">
        <v>50</v>
      </c>
      <c r="J17" s="150"/>
      <c r="K17" s="145" t="s">
        <v>51</v>
      </c>
      <c r="N17" s="11"/>
      <c r="O17" s="11"/>
      <c r="P17" s="11"/>
      <c r="Q17" s="11"/>
      <c r="R17" s="11"/>
      <c r="S17" s="11"/>
      <c r="T17" s="11"/>
      <c r="X17" s="11"/>
    </row>
    <row r="18" spans="2:26" ht="20.100000000000001" customHeight="1" thickBot="1" x14ac:dyDescent="0.2">
      <c r="B18" s="146"/>
      <c r="C18" s="146"/>
      <c r="D18" s="157"/>
      <c r="E18" s="158"/>
      <c r="F18" s="146"/>
      <c r="G18" s="148"/>
      <c r="H18" s="1" t="s">
        <v>48</v>
      </c>
      <c r="I18" s="1" t="s">
        <v>52</v>
      </c>
      <c r="J18" s="1" t="s">
        <v>53</v>
      </c>
      <c r="K18" s="146"/>
      <c r="N18" s="11"/>
      <c r="O18" s="11"/>
      <c r="P18" s="11"/>
      <c r="Q18" s="11"/>
      <c r="R18" s="11"/>
      <c r="S18" s="11"/>
      <c r="T18" s="11"/>
      <c r="X18" s="11"/>
    </row>
    <row r="19" spans="2:26" ht="20.100000000000001" customHeight="1" thickBot="1" x14ac:dyDescent="0.2">
      <c r="B19" s="145">
        <v>2</v>
      </c>
      <c r="C19" s="1" t="s">
        <v>1</v>
      </c>
      <c r="D19" s="152" t="s">
        <v>21</v>
      </c>
      <c r="E19" s="152"/>
      <c r="F19" s="13">
        <f>IF(D19=X$9,D$11,IF(D19=X$8,D$8,IF(OR(D19=X$5,D19=X$6,D19=X$7),D$5,0)))</f>
        <v>2.4</v>
      </c>
      <c r="G19" s="15">
        <v>1</v>
      </c>
      <c r="H19" s="16">
        <f>F19*G19</f>
        <v>2.4</v>
      </c>
      <c r="I19" s="16">
        <f>ROUND(H19,2)</f>
        <v>2.4</v>
      </c>
      <c r="J19" s="16" t="s">
        <v>55</v>
      </c>
      <c r="K19" s="16" t="s">
        <v>55</v>
      </c>
      <c r="N19" s="11"/>
      <c r="O19" s="11"/>
      <c r="P19" s="11"/>
      <c r="Q19" s="11"/>
      <c r="R19" s="26"/>
      <c r="S19" s="27"/>
      <c r="T19" s="11"/>
      <c r="W19" s="11" t="s">
        <v>3</v>
      </c>
      <c r="X19" s="11" t="s">
        <v>57</v>
      </c>
    </row>
    <row r="20" spans="2:26" ht="20.100000000000001" customHeight="1" x14ac:dyDescent="0.15">
      <c r="B20" s="151"/>
      <c r="C20" s="1" t="s">
        <v>2</v>
      </c>
      <c r="D20" s="152" t="s">
        <v>26</v>
      </c>
      <c r="E20" s="152"/>
      <c r="F20" s="13">
        <f>IF(D20=X$16,E$11,IF(OR(D20=X$12,D20=X$13,D20=X$14,D20=X$15),E$5,0))</f>
        <v>1.2</v>
      </c>
      <c r="G20" s="15">
        <v>0.5</v>
      </c>
      <c r="H20" s="16">
        <f t="shared" ref="H20:H26" si="0">F20*G20</f>
        <v>0.6</v>
      </c>
      <c r="I20" s="16">
        <f t="shared" ref="I20:I21" si="1">ROUND(H20,2)</f>
        <v>0.6</v>
      </c>
      <c r="J20" s="16" t="s">
        <v>55</v>
      </c>
      <c r="K20" s="16" t="s">
        <v>55</v>
      </c>
      <c r="N20" s="11"/>
      <c r="O20" s="21"/>
      <c r="P20" s="22"/>
      <c r="Q20" s="22"/>
      <c r="R20" s="28"/>
      <c r="S20" s="29"/>
      <c r="T20" s="11"/>
      <c r="X20" s="11" t="s">
        <v>27</v>
      </c>
    </row>
    <row r="21" spans="2:26" ht="20.100000000000001" customHeight="1" x14ac:dyDescent="0.15">
      <c r="B21" s="146"/>
      <c r="C21" s="1" t="s">
        <v>3</v>
      </c>
      <c r="D21" s="152" t="s">
        <v>28</v>
      </c>
      <c r="E21" s="152"/>
      <c r="F21" s="13">
        <f>IF(D21=X$20,F$5,IF(D21=X$21,F$11,0))</f>
        <v>0.45</v>
      </c>
      <c r="G21" s="15">
        <v>0.5</v>
      </c>
      <c r="H21" s="16">
        <f t="shared" si="0"/>
        <v>0.22500000000000001</v>
      </c>
      <c r="I21" s="16">
        <f t="shared" si="1"/>
        <v>0.23</v>
      </c>
      <c r="J21" s="16" t="s">
        <v>55</v>
      </c>
      <c r="K21" s="16" t="s">
        <v>55</v>
      </c>
      <c r="N21" s="11"/>
      <c r="O21" s="24"/>
      <c r="P21" s="25"/>
      <c r="Q21" s="25"/>
      <c r="R21" s="141" t="s">
        <v>60</v>
      </c>
      <c r="S21" s="142"/>
      <c r="T21" s="11"/>
      <c r="X21" s="11" t="s">
        <v>28</v>
      </c>
    </row>
    <row r="22" spans="2:26" ht="20.100000000000001" customHeight="1" x14ac:dyDescent="0.15">
      <c r="B22" s="153">
        <v>1</v>
      </c>
      <c r="C22" s="1" t="s">
        <v>1</v>
      </c>
      <c r="D22" s="152" t="s">
        <v>21</v>
      </c>
      <c r="E22" s="152"/>
      <c r="F22" s="13">
        <f>IF(D22=X$9,D$11,IF(D22=X$8,D$8,IF(OR(D22=X$5,D22=X$6,D22=X$7),D$5,0)))</f>
        <v>2.4</v>
      </c>
      <c r="G22" s="15">
        <v>1</v>
      </c>
      <c r="H22" s="16">
        <f t="shared" si="0"/>
        <v>2.4</v>
      </c>
      <c r="I22" s="17" t="s">
        <v>56</v>
      </c>
      <c r="J22" s="17" t="s">
        <v>56</v>
      </c>
      <c r="K22" s="16">
        <f>ROUND(H22,2)</f>
        <v>2.4</v>
      </c>
      <c r="N22" s="11"/>
      <c r="O22" s="24"/>
      <c r="P22" s="25" t="s">
        <v>62</v>
      </c>
      <c r="Q22" s="25"/>
      <c r="R22" s="28"/>
      <c r="S22" s="29"/>
      <c r="T22" s="11"/>
      <c r="X22" s="11"/>
    </row>
    <row r="23" spans="2:26" ht="20.100000000000001" customHeight="1" thickBot="1" x14ac:dyDescent="0.2">
      <c r="B23" s="153"/>
      <c r="C23" s="1" t="s">
        <v>2</v>
      </c>
      <c r="D23" s="152" t="s">
        <v>26</v>
      </c>
      <c r="E23" s="152"/>
      <c r="F23" s="13">
        <f>IF(D23=X$16,E$11,IF(OR(D23=X$12,D23=X$13,D23=X$14,D23=X$15),E$5,0))</f>
        <v>1.2</v>
      </c>
      <c r="G23" s="15">
        <v>0.5</v>
      </c>
      <c r="H23" s="16">
        <f t="shared" si="0"/>
        <v>0.6</v>
      </c>
      <c r="I23" s="17" t="s">
        <v>56</v>
      </c>
      <c r="J23" s="16">
        <f>IF(I19=0,0,ROUND(H23+H20,2))</f>
        <v>1.2</v>
      </c>
      <c r="K23" s="16">
        <f t="shared" ref="K23:K24" si="2">ROUND(H23,2)</f>
        <v>0.6</v>
      </c>
      <c r="N23" s="11"/>
      <c r="O23" s="24"/>
      <c r="P23" s="25"/>
      <c r="Q23" s="25"/>
      <c r="R23" s="34"/>
      <c r="S23" s="35"/>
      <c r="T23" s="11"/>
      <c r="W23" s="11" t="s">
        <v>36</v>
      </c>
      <c r="X23" s="11" t="s">
        <v>57</v>
      </c>
    </row>
    <row r="24" spans="2:26" ht="20.100000000000001" customHeight="1" thickBot="1" x14ac:dyDescent="0.2">
      <c r="B24" s="153"/>
      <c r="C24" s="1" t="s">
        <v>3</v>
      </c>
      <c r="D24" s="152" t="s">
        <v>28</v>
      </c>
      <c r="E24" s="152"/>
      <c r="F24" s="13">
        <f>IF(D24=X$20,F$5,IF(D24=X$21,F$11,0))</f>
        <v>0.45</v>
      </c>
      <c r="G24" s="15">
        <v>0.5</v>
      </c>
      <c r="H24" s="16">
        <f t="shared" si="0"/>
        <v>0.22500000000000001</v>
      </c>
      <c r="I24" s="17" t="s">
        <v>56</v>
      </c>
      <c r="J24" s="16">
        <f>IF(I19=0,0,ROUND(H24+H21,2))</f>
        <v>0.45</v>
      </c>
      <c r="K24" s="16">
        <f t="shared" si="2"/>
        <v>0.23</v>
      </c>
      <c r="N24" s="11"/>
      <c r="O24" s="37"/>
      <c r="P24" s="33"/>
      <c r="Q24" s="38"/>
      <c r="R24" s="11"/>
      <c r="S24" s="11"/>
      <c r="T24" s="11"/>
      <c r="X24" s="11" t="s">
        <v>37</v>
      </c>
      <c r="Y24" t="s">
        <v>57</v>
      </c>
      <c r="Z24">
        <v>0</v>
      </c>
    </row>
    <row r="25" spans="2:26" ht="20.100000000000001" customHeight="1" x14ac:dyDescent="0.15">
      <c r="B25" s="153"/>
      <c r="C25" s="1" t="s">
        <v>4</v>
      </c>
      <c r="D25" s="159" t="s">
        <v>35</v>
      </c>
      <c r="E25" s="160"/>
      <c r="F25" s="18">
        <v>0.6</v>
      </c>
      <c r="G25" s="15">
        <f>IF(D26="無し",0,1)</f>
        <v>1</v>
      </c>
      <c r="H25" s="16">
        <f t="shared" si="0"/>
        <v>0.6</v>
      </c>
      <c r="I25" s="17" t="s">
        <v>56</v>
      </c>
      <c r="J25" s="16">
        <f>IF(I19=0,0,ROUND(H25,2))</f>
        <v>0.6</v>
      </c>
      <c r="K25" s="17" t="str">
        <f>IF(J25=0,H25,"----")</f>
        <v>----</v>
      </c>
      <c r="N25" s="11"/>
      <c r="O25" s="143" t="s">
        <v>63</v>
      </c>
      <c r="P25" s="144"/>
      <c r="Q25" s="11"/>
      <c r="R25" s="11"/>
      <c r="S25" s="11"/>
      <c r="T25" s="11"/>
      <c r="X25" s="11" t="s">
        <v>38</v>
      </c>
      <c r="Y25" t="s">
        <v>41</v>
      </c>
      <c r="Z25">
        <v>1</v>
      </c>
    </row>
    <row r="26" spans="2:26" ht="20.100000000000001" customHeight="1" thickBot="1" x14ac:dyDescent="0.2">
      <c r="B26" s="153"/>
      <c r="C26" s="153" t="s">
        <v>5</v>
      </c>
      <c r="D26" s="160" t="s">
        <v>37</v>
      </c>
      <c r="E26" s="160"/>
      <c r="F26" s="18">
        <f>IF(D26="無し",0,0.6)</f>
        <v>0.6</v>
      </c>
      <c r="G26" s="16">
        <f>IF(E27=Y$26,Z$26,IF(E27=Y$27,Z$27,IF(E27=Y$28,Z$28,IF(E27=Y$30,Z$30,IF(E27=Y$31,Z$31,IF(E27=Y$32,Z$32,IF(E27=Y$25,Z$25,0)))))))</f>
        <v>1</v>
      </c>
      <c r="H26" s="16">
        <f t="shared" si="0"/>
        <v>0.6</v>
      </c>
      <c r="I26" s="17" t="s">
        <v>56</v>
      </c>
      <c r="J26" s="16">
        <f>IF(I19=0,0,(ROUND(H26,2)))</f>
        <v>0.6</v>
      </c>
      <c r="K26" s="17" t="str">
        <f>IF(J26=0,H26,"----")</f>
        <v>----</v>
      </c>
      <c r="N26" s="11"/>
      <c r="O26" s="34"/>
      <c r="P26" s="35"/>
      <c r="Q26" s="11"/>
      <c r="R26" s="11"/>
      <c r="S26" s="11"/>
      <c r="T26" s="11"/>
      <c r="Y26" t="s">
        <v>42</v>
      </c>
      <c r="Z26">
        <v>0.8</v>
      </c>
    </row>
    <row r="27" spans="2:26" ht="20.100000000000001" customHeight="1" x14ac:dyDescent="0.15">
      <c r="B27" s="153"/>
      <c r="C27" s="153"/>
      <c r="D27" s="19" t="s">
        <v>40</v>
      </c>
      <c r="E27" s="20" t="s">
        <v>41</v>
      </c>
      <c r="G27" s="139" t="s">
        <v>54</v>
      </c>
      <c r="H27" s="140"/>
      <c r="I27" s="14">
        <f>SUM(I19:I26)</f>
        <v>3.23</v>
      </c>
      <c r="J27" s="14">
        <f t="shared" ref="J27:K27" si="3">SUM(J19:J26)</f>
        <v>2.85</v>
      </c>
      <c r="K27" s="14">
        <f t="shared" si="3"/>
        <v>3.23</v>
      </c>
      <c r="N27" s="11"/>
      <c r="O27" s="11"/>
      <c r="P27" s="11"/>
      <c r="Q27" s="11"/>
      <c r="R27" s="11"/>
      <c r="S27" s="11"/>
      <c r="T27" s="11"/>
      <c r="Y27" t="s">
        <v>44</v>
      </c>
      <c r="Z27">
        <v>0.67</v>
      </c>
    </row>
    <row r="28" spans="2:26" ht="20.100000000000001" customHeight="1" x14ac:dyDescent="0.15">
      <c r="G28" s="138" t="s">
        <v>176</v>
      </c>
      <c r="H28" s="138"/>
      <c r="I28" s="125">
        <f>I20+I21</f>
        <v>0.83</v>
      </c>
      <c r="J28" s="125">
        <f>I28</f>
        <v>0.83</v>
      </c>
      <c r="N28" s="11"/>
      <c r="O28" s="11" t="s">
        <v>64</v>
      </c>
      <c r="P28" s="11"/>
      <c r="Q28" s="11"/>
      <c r="R28" s="11"/>
      <c r="S28" s="11"/>
      <c r="T28" s="11"/>
      <c r="Y28" t="s">
        <v>45</v>
      </c>
      <c r="Z28">
        <v>0.62</v>
      </c>
    </row>
    <row r="29" spans="2:26" ht="20.100000000000001" customHeight="1" x14ac:dyDescent="0.15">
      <c r="N29" s="11"/>
      <c r="O29" s="11"/>
      <c r="P29" s="11"/>
      <c r="Q29" s="11"/>
      <c r="R29" s="11"/>
      <c r="S29" s="11"/>
      <c r="T29" s="11"/>
    </row>
    <row r="30" spans="2:26" ht="20.100000000000001" customHeight="1" x14ac:dyDescent="0.15">
      <c r="C30" s="12" t="s">
        <v>29</v>
      </c>
      <c r="D30" s="154" t="s">
        <v>125</v>
      </c>
      <c r="E30" s="154"/>
      <c r="Y30" t="s">
        <v>46</v>
      </c>
      <c r="Z30">
        <v>0.56999999999999995</v>
      </c>
    </row>
    <row r="31" spans="2:26" ht="20.100000000000001" customHeight="1" x14ac:dyDescent="0.15">
      <c r="B31" s="145" t="s">
        <v>33</v>
      </c>
      <c r="C31" s="145" t="s">
        <v>34</v>
      </c>
      <c r="D31" s="155" t="s">
        <v>30</v>
      </c>
      <c r="E31" s="156"/>
      <c r="F31" s="145" t="s">
        <v>31</v>
      </c>
      <c r="G31" s="147" t="s">
        <v>39</v>
      </c>
      <c r="H31" s="1" t="s">
        <v>49</v>
      </c>
      <c r="I31" s="149" t="s">
        <v>50</v>
      </c>
      <c r="J31" s="150"/>
      <c r="K31" s="145" t="s">
        <v>51</v>
      </c>
      <c r="Y31" t="s">
        <v>47</v>
      </c>
      <c r="Z31">
        <v>0.53</v>
      </c>
    </row>
    <row r="32" spans="2:26" ht="20.100000000000001" customHeight="1" x14ac:dyDescent="0.15">
      <c r="B32" s="146"/>
      <c r="C32" s="146"/>
      <c r="D32" s="157"/>
      <c r="E32" s="158"/>
      <c r="F32" s="146"/>
      <c r="G32" s="148"/>
      <c r="H32" s="1" t="s">
        <v>48</v>
      </c>
      <c r="I32" s="1" t="s">
        <v>52</v>
      </c>
      <c r="J32" s="1" t="s">
        <v>53</v>
      </c>
      <c r="K32" s="146"/>
      <c r="Y32" t="s">
        <v>43</v>
      </c>
      <c r="Z32">
        <v>0.5</v>
      </c>
    </row>
    <row r="33" spans="2:11" ht="20.100000000000001" customHeight="1" x14ac:dyDescent="0.15">
      <c r="B33" s="145">
        <v>2</v>
      </c>
      <c r="C33" s="1" t="s">
        <v>1</v>
      </c>
      <c r="D33" s="152" t="s">
        <v>57</v>
      </c>
      <c r="E33" s="152"/>
      <c r="F33" s="13">
        <f>IF(D33=X$9,D$11,IF(D33=X$8,D$8,IF(OR(D33=X$5,D33=X$6,D33=X$7),D$5,0)))</f>
        <v>0</v>
      </c>
      <c r="G33" s="15">
        <v>1</v>
      </c>
      <c r="H33" s="16">
        <f>F33*G33</f>
        <v>0</v>
      </c>
      <c r="I33" s="16">
        <f>ROUND(H33,2)</f>
        <v>0</v>
      </c>
      <c r="J33" s="16" t="s">
        <v>55</v>
      </c>
      <c r="K33" s="16" t="s">
        <v>55</v>
      </c>
    </row>
    <row r="34" spans="2:11" ht="20.100000000000001" customHeight="1" x14ac:dyDescent="0.15">
      <c r="B34" s="151"/>
      <c r="C34" s="1" t="s">
        <v>2</v>
      </c>
      <c r="D34" s="152" t="s">
        <v>57</v>
      </c>
      <c r="E34" s="152"/>
      <c r="F34" s="13">
        <f>IF(D34=X$16,E$11,IF(OR(D34=X$12,D34=X$13,D34=X$14,D34=X$15),E$5,0))</f>
        <v>0</v>
      </c>
      <c r="G34" s="15">
        <v>0.5</v>
      </c>
      <c r="H34" s="16">
        <f t="shared" ref="H34:H40" si="4">F34*G34</f>
        <v>0</v>
      </c>
      <c r="I34" s="16">
        <f t="shared" ref="I34:I35" si="5">ROUND(H34,2)</f>
        <v>0</v>
      </c>
      <c r="J34" s="16" t="s">
        <v>55</v>
      </c>
      <c r="K34" s="16" t="s">
        <v>55</v>
      </c>
    </row>
    <row r="35" spans="2:11" ht="20.100000000000001" customHeight="1" x14ac:dyDescent="0.15">
      <c r="B35" s="146"/>
      <c r="C35" s="1" t="s">
        <v>3</v>
      </c>
      <c r="D35" s="152" t="s">
        <v>57</v>
      </c>
      <c r="E35" s="152"/>
      <c r="F35" s="13">
        <f>IF(D35=X$20,F$5,IF(D35=X$21,F$11,0))</f>
        <v>0</v>
      </c>
      <c r="G35" s="15">
        <v>0.5</v>
      </c>
      <c r="H35" s="16">
        <f t="shared" si="4"/>
        <v>0</v>
      </c>
      <c r="I35" s="16">
        <f t="shared" si="5"/>
        <v>0</v>
      </c>
      <c r="J35" s="16" t="s">
        <v>55</v>
      </c>
      <c r="K35" s="16" t="s">
        <v>55</v>
      </c>
    </row>
    <row r="36" spans="2:11" ht="20.100000000000001" customHeight="1" x14ac:dyDescent="0.15">
      <c r="B36" s="153">
        <v>1</v>
      </c>
      <c r="C36" s="1" t="s">
        <v>1</v>
      </c>
      <c r="D36" s="152" t="s">
        <v>21</v>
      </c>
      <c r="E36" s="152"/>
      <c r="F36" s="13">
        <f>IF(D36=X$9,D$11,IF(D36=X$8,D$8,IF(OR(D36=X$5,D36=X$6,D36=X$7),D$5,0)))</f>
        <v>2.4</v>
      </c>
      <c r="G36" s="15">
        <v>1</v>
      </c>
      <c r="H36" s="16">
        <f t="shared" si="4"/>
        <v>2.4</v>
      </c>
      <c r="I36" s="17" t="s">
        <v>56</v>
      </c>
      <c r="J36" s="17" t="s">
        <v>56</v>
      </c>
      <c r="K36" s="16">
        <f>ROUND(H36,2)</f>
        <v>2.4</v>
      </c>
    </row>
    <row r="37" spans="2:11" ht="20.100000000000001" customHeight="1" x14ac:dyDescent="0.15">
      <c r="B37" s="153"/>
      <c r="C37" s="1" t="s">
        <v>2</v>
      </c>
      <c r="D37" s="152" t="s">
        <v>26</v>
      </c>
      <c r="E37" s="152"/>
      <c r="F37" s="13">
        <f>IF(D37=X$16,E$11,IF(OR(D37=X$12,D37=X$13,D37=X$14,D37=X$15),E$5,0))</f>
        <v>1.2</v>
      </c>
      <c r="G37" s="15">
        <v>0.5</v>
      </c>
      <c r="H37" s="16">
        <f t="shared" si="4"/>
        <v>0.6</v>
      </c>
      <c r="I37" s="17" t="s">
        <v>56</v>
      </c>
      <c r="J37" s="16">
        <f>IF(I33=0,0,ROUND(H37+H34,2))</f>
        <v>0</v>
      </c>
      <c r="K37" s="16">
        <f t="shared" ref="K37:K38" si="6">ROUND(H37,2)</f>
        <v>0.6</v>
      </c>
    </row>
    <row r="38" spans="2:11" ht="20.100000000000001" customHeight="1" x14ac:dyDescent="0.15">
      <c r="B38" s="153"/>
      <c r="C38" s="1" t="s">
        <v>3</v>
      </c>
      <c r="D38" s="152" t="s">
        <v>28</v>
      </c>
      <c r="E38" s="152"/>
      <c r="F38" s="13">
        <f>IF(D38=X$20,F$5,IF(D38=X$21,F$11,0))</f>
        <v>0.45</v>
      </c>
      <c r="G38" s="15">
        <v>0.5</v>
      </c>
      <c r="H38" s="16">
        <f t="shared" si="4"/>
        <v>0.22500000000000001</v>
      </c>
      <c r="I38" s="17" t="s">
        <v>56</v>
      </c>
      <c r="J38" s="16">
        <f>IF(I33=0,0,ROUND(H38+H35,2))</f>
        <v>0</v>
      </c>
      <c r="K38" s="16">
        <f t="shared" si="6"/>
        <v>0.23</v>
      </c>
    </row>
    <row r="39" spans="2:11" ht="20.100000000000001" customHeight="1" x14ac:dyDescent="0.15">
      <c r="B39" s="153"/>
      <c r="C39" s="1" t="s">
        <v>4</v>
      </c>
      <c r="D39" s="159" t="s">
        <v>35</v>
      </c>
      <c r="E39" s="160"/>
      <c r="F39" s="18">
        <v>0.6</v>
      </c>
      <c r="G39" s="15">
        <f>IF(D40="無し",0,1)</f>
        <v>1</v>
      </c>
      <c r="H39" s="16">
        <f t="shared" si="4"/>
        <v>0.6</v>
      </c>
      <c r="I39" s="17" t="s">
        <v>56</v>
      </c>
      <c r="J39" s="16">
        <f>IF(I33=0,0,ROUND(H39,2))</f>
        <v>0</v>
      </c>
      <c r="K39" s="17">
        <f>IF(J39=0,H39,"----")</f>
        <v>0.6</v>
      </c>
    </row>
    <row r="40" spans="2:11" ht="20.100000000000001" customHeight="1" x14ac:dyDescent="0.15">
      <c r="B40" s="153"/>
      <c r="C40" s="153" t="s">
        <v>5</v>
      </c>
      <c r="D40" s="160" t="s">
        <v>38</v>
      </c>
      <c r="E40" s="160"/>
      <c r="F40" s="18">
        <f>IF(D40="無し",0,0.6)</f>
        <v>0.6</v>
      </c>
      <c r="G40" s="16">
        <f>IF(E41=Y$26,Z$26,IF(E41=Y$27,Z$27,IF(E41=Y$28,Z$28,IF(E41=Y$30,Z$30,IF(E41=Y$31,Z$31,IF(E41=Y$32,Z$32,IF(E41=Y$25,Z$25,0)))))))</f>
        <v>0.67</v>
      </c>
      <c r="H40" s="16">
        <f t="shared" si="4"/>
        <v>0.40200000000000002</v>
      </c>
      <c r="I40" s="17" t="s">
        <v>56</v>
      </c>
      <c r="J40" s="16">
        <f>IF(I33=0,0,(ROUND(H40,2)))</f>
        <v>0</v>
      </c>
      <c r="K40" s="17">
        <f>IF(J40=0,H40,"----")</f>
        <v>0.40200000000000002</v>
      </c>
    </row>
    <row r="41" spans="2:11" ht="20.100000000000001" customHeight="1" x14ac:dyDescent="0.15">
      <c r="B41" s="153"/>
      <c r="C41" s="153"/>
      <c r="D41" s="19" t="s">
        <v>40</v>
      </c>
      <c r="E41" s="20" t="s">
        <v>121</v>
      </c>
      <c r="G41" s="139" t="s">
        <v>54</v>
      </c>
      <c r="H41" s="140"/>
      <c r="I41" s="14">
        <f>SUM(I33:I40)</f>
        <v>0</v>
      </c>
      <c r="J41" s="14">
        <f t="shared" ref="J41" si="7">SUM(J33:J40)</f>
        <v>0</v>
      </c>
      <c r="K41" s="14">
        <f t="shared" ref="K41" si="8">SUM(K33:K40)</f>
        <v>4.2320000000000002</v>
      </c>
    </row>
    <row r="42" spans="2:11" ht="20.100000000000001" customHeight="1" x14ac:dyDescent="0.15">
      <c r="G42" s="138" t="s">
        <v>176</v>
      </c>
      <c r="H42" s="138"/>
      <c r="I42" s="125">
        <f>I34+I35</f>
        <v>0</v>
      </c>
      <c r="J42" s="125">
        <f>I42</f>
        <v>0</v>
      </c>
    </row>
    <row r="43" spans="2:11" ht="20.100000000000001" customHeight="1" x14ac:dyDescent="0.15"/>
    <row r="44" spans="2:11" ht="20.100000000000001" customHeight="1" x14ac:dyDescent="0.15">
      <c r="C44" s="12" t="s">
        <v>29</v>
      </c>
      <c r="D44" s="154" t="s">
        <v>127</v>
      </c>
      <c r="E44" s="154"/>
    </row>
    <row r="45" spans="2:11" ht="20.100000000000001" customHeight="1" x14ac:dyDescent="0.15">
      <c r="B45" s="145" t="s">
        <v>33</v>
      </c>
      <c r="C45" s="145" t="s">
        <v>34</v>
      </c>
      <c r="D45" s="155" t="s">
        <v>30</v>
      </c>
      <c r="E45" s="156"/>
      <c r="F45" s="145" t="s">
        <v>31</v>
      </c>
      <c r="G45" s="147" t="s">
        <v>39</v>
      </c>
      <c r="H45" s="1" t="s">
        <v>49</v>
      </c>
      <c r="I45" s="149" t="s">
        <v>50</v>
      </c>
      <c r="J45" s="150"/>
      <c r="K45" s="145" t="s">
        <v>51</v>
      </c>
    </row>
    <row r="46" spans="2:11" ht="20.100000000000001" customHeight="1" x14ac:dyDescent="0.15">
      <c r="B46" s="146"/>
      <c r="C46" s="146"/>
      <c r="D46" s="157"/>
      <c r="E46" s="158"/>
      <c r="F46" s="146"/>
      <c r="G46" s="148"/>
      <c r="H46" s="1" t="s">
        <v>48</v>
      </c>
      <c r="I46" s="1" t="s">
        <v>52</v>
      </c>
      <c r="J46" s="1" t="s">
        <v>53</v>
      </c>
      <c r="K46" s="146"/>
    </row>
    <row r="47" spans="2:11" ht="20.100000000000001" customHeight="1" x14ac:dyDescent="0.15">
      <c r="B47" s="145">
        <v>2</v>
      </c>
      <c r="C47" s="1" t="s">
        <v>1</v>
      </c>
      <c r="D47" s="152" t="s">
        <v>21</v>
      </c>
      <c r="E47" s="152"/>
      <c r="F47" s="13">
        <f>IF(D47=X$9,D$11,IF(D47=X$8,D$8,IF(OR(D47=X$5,D47=X$6,D47=X$7),D$5,0)))</f>
        <v>2.4</v>
      </c>
      <c r="G47" s="15">
        <v>1</v>
      </c>
      <c r="H47" s="16">
        <f>F47*G47</f>
        <v>2.4</v>
      </c>
      <c r="I47" s="16">
        <f>ROUND(H47,2)</f>
        <v>2.4</v>
      </c>
      <c r="J47" s="16" t="s">
        <v>55</v>
      </c>
      <c r="K47" s="16" t="s">
        <v>55</v>
      </c>
    </row>
    <row r="48" spans="2:11" ht="20.100000000000001" customHeight="1" x14ac:dyDescent="0.15">
      <c r="B48" s="151"/>
      <c r="C48" s="1" t="s">
        <v>2</v>
      </c>
      <c r="D48" s="152" t="s">
        <v>26</v>
      </c>
      <c r="E48" s="152"/>
      <c r="F48" s="13">
        <f>IF(D48=X$16,E$11,IF(OR(D48=X$12,D48=X$13,D48=X$14,D48=X$15),E$5,0))</f>
        <v>1.2</v>
      </c>
      <c r="G48" s="15">
        <v>0.5</v>
      </c>
      <c r="H48" s="16">
        <f t="shared" ref="H48:H54" si="9">F48*G48</f>
        <v>0.6</v>
      </c>
      <c r="I48" s="16">
        <f t="shared" ref="I48:I49" si="10">ROUND(H48,2)</f>
        <v>0.6</v>
      </c>
      <c r="J48" s="16" t="s">
        <v>55</v>
      </c>
      <c r="K48" s="16" t="s">
        <v>55</v>
      </c>
    </row>
    <row r="49" spans="2:11" ht="20.100000000000001" customHeight="1" x14ac:dyDescent="0.15">
      <c r="B49" s="146"/>
      <c r="C49" s="1" t="s">
        <v>3</v>
      </c>
      <c r="D49" s="152" t="s">
        <v>28</v>
      </c>
      <c r="E49" s="152"/>
      <c r="F49" s="13">
        <f>IF(D49=X$20,F$5,IF(D49=X$21,F$11,0))</f>
        <v>0.45</v>
      </c>
      <c r="G49" s="15">
        <v>0.5</v>
      </c>
      <c r="H49" s="16">
        <f t="shared" si="9"/>
        <v>0.22500000000000001</v>
      </c>
      <c r="I49" s="16">
        <f t="shared" si="10"/>
        <v>0.23</v>
      </c>
      <c r="J49" s="16" t="s">
        <v>55</v>
      </c>
      <c r="K49" s="16" t="s">
        <v>55</v>
      </c>
    </row>
    <row r="50" spans="2:11" ht="20.100000000000001" customHeight="1" x14ac:dyDescent="0.15">
      <c r="B50" s="153">
        <v>1</v>
      </c>
      <c r="C50" s="1" t="s">
        <v>1</v>
      </c>
      <c r="D50" s="152" t="s">
        <v>21</v>
      </c>
      <c r="E50" s="152"/>
      <c r="F50" s="13">
        <f>IF(D50=X$9,D$11,IF(D50=X$8,D$8,IF(OR(D50=X$5,D50=X$6,D50=X$7),D$5,0)))</f>
        <v>2.4</v>
      </c>
      <c r="G50" s="15">
        <v>1</v>
      </c>
      <c r="H50" s="16">
        <f t="shared" si="9"/>
        <v>2.4</v>
      </c>
      <c r="I50" s="17" t="s">
        <v>56</v>
      </c>
      <c r="J50" s="17" t="s">
        <v>56</v>
      </c>
      <c r="K50" s="16">
        <f>ROUND(H50,2)</f>
        <v>2.4</v>
      </c>
    </row>
    <row r="51" spans="2:11" ht="20.100000000000001" customHeight="1" x14ac:dyDescent="0.15">
      <c r="B51" s="153"/>
      <c r="C51" s="1" t="s">
        <v>2</v>
      </c>
      <c r="D51" s="152" t="s">
        <v>26</v>
      </c>
      <c r="E51" s="152"/>
      <c r="F51" s="13">
        <f>IF(D51=X$16,E$11,IF(OR(D51=X$12,D51=X$13,D51=X$14,D51=X$15),E$5,0))</f>
        <v>1.2</v>
      </c>
      <c r="G51" s="15">
        <v>0.5</v>
      </c>
      <c r="H51" s="16">
        <f t="shared" si="9"/>
        <v>0.6</v>
      </c>
      <c r="I51" s="17" t="s">
        <v>56</v>
      </c>
      <c r="J51" s="16">
        <f>IF(I47=0,0,ROUND(H51+H48,2))</f>
        <v>1.2</v>
      </c>
      <c r="K51" s="16">
        <f t="shared" ref="K51:K52" si="11">ROUND(H51,2)</f>
        <v>0.6</v>
      </c>
    </row>
    <row r="52" spans="2:11" ht="20.100000000000001" customHeight="1" x14ac:dyDescent="0.15">
      <c r="B52" s="153"/>
      <c r="C52" s="1" t="s">
        <v>3</v>
      </c>
      <c r="D52" s="152" t="s">
        <v>28</v>
      </c>
      <c r="E52" s="152"/>
      <c r="F52" s="13">
        <f>IF(D52=X$20,F$5,IF(D52=X$21,F$11,0))</f>
        <v>0.45</v>
      </c>
      <c r="G52" s="15">
        <v>0.5</v>
      </c>
      <c r="H52" s="16">
        <f t="shared" si="9"/>
        <v>0.22500000000000001</v>
      </c>
      <c r="I52" s="17" t="s">
        <v>56</v>
      </c>
      <c r="J52" s="16">
        <f>IF(I47=0,0,ROUND(H52+H49,2))</f>
        <v>0.45</v>
      </c>
      <c r="K52" s="16">
        <f t="shared" si="11"/>
        <v>0.23</v>
      </c>
    </row>
    <row r="53" spans="2:11" ht="20.100000000000001" customHeight="1" x14ac:dyDescent="0.15">
      <c r="B53" s="153"/>
      <c r="C53" s="1" t="s">
        <v>4</v>
      </c>
      <c r="D53" s="159" t="s">
        <v>35</v>
      </c>
      <c r="E53" s="160"/>
      <c r="F53" s="18">
        <v>0.6</v>
      </c>
      <c r="G53" s="15">
        <f>IF(D54="無し",0,1)</f>
        <v>0</v>
      </c>
      <c r="H53" s="16">
        <f t="shared" si="9"/>
        <v>0</v>
      </c>
      <c r="I53" s="17" t="s">
        <v>56</v>
      </c>
      <c r="J53" s="16">
        <f>IF(I47=0,0,ROUND(H53,2))</f>
        <v>0</v>
      </c>
      <c r="K53" s="17">
        <f>IF(J53=0,H53,"----")</f>
        <v>0</v>
      </c>
    </row>
    <row r="54" spans="2:11" ht="20.100000000000001" customHeight="1" x14ac:dyDescent="0.15">
      <c r="B54" s="153"/>
      <c r="C54" s="153" t="s">
        <v>5</v>
      </c>
      <c r="D54" s="160" t="s">
        <v>57</v>
      </c>
      <c r="E54" s="160"/>
      <c r="F54" s="18">
        <f>IF(D54="無し",0,0.6)</f>
        <v>0</v>
      </c>
      <c r="G54" s="16">
        <f>IF(E55=Y$26,Z$26,IF(E55=Y$27,Z$27,IF(E55=Y$28,Z$28,IF(E55=Y$30,Z$30,IF(E55=Y$31,Z$31,IF(E55=Y$32,Z$32,IF(E55=Y$25,Z$25,0)))))))</f>
        <v>1</v>
      </c>
      <c r="H54" s="16">
        <f t="shared" si="9"/>
        <v>0</v>
      </c>
      <c r="I54" s="17" t="s">
        <v>56</v>
      </c>
      <c r="J54" s="16">
        <f>IF(I47=0,0,(ROUND(H54,2)))</f>
        <v>0</v>
      </c>
      <c r="K54" s="17">
        <f>IF(J54=0,H54,"----")</f>
        <v>0</v>
      </c>
    </row>
    <row r="55" spans="2:11" ht="20.100000000000001" customHeight="1" x14ac:dyDescent="0.15">
      <c r="B55" s="153"/>
      <c r="C55" s="153"/>
      <c r="D55" s="19" t="s">
        <v>40</v>
      </c>
      <c r="E55" s="20" t="s">
        <v>41</v>
      </c>
      <c r="G55" s="139" t="s">
        <v>54</v>
      </c>
      <c r="H55" s="140"/>
      <c r="I55" s="14">
        <f>SUM(I47:I54)</f>
        <v>3.23</v>
      </c>
      <c r="J55" s="14">
        <f t="shared" ref="J55" si="12">SUM(J47:J54)</f>
        <v>1.65</v>
      </c>
      <c r="K55" s="14">
        <f t="shared" ref="K55" si="13">SUM(K47:K54)</f>
        <v>3.23</v>
      </c>
    </row>
    <row r="56" spans="2:11" ht="20.100000000000001" customHeight="1" x14ac:dyDescent="0.15">
      <c r="G56" s="138" t="s">
        <v>176</v>
      </c>
      <c r="H56" s="138"/>
      <c r="I56" s="125">
        <f>I48+I49</f>
        <v>0.83</v>
      </c>
      <c r="J56" s="125">
        <f>I56</f>
        <v>0.83</v>
      </c>
    </row>
    <row r="57" spans="2:11" ht="20.100000000000001" customHeight="1" x14ac:dyDescent="0.15"/>
    <row r="58" spans="2:11" ht="20.100000000000001" customHeight="1" x14ac:dyDescent="0.15">
      <c r="C58" s="12" t="s">
        <v>29</v>
      </c>
      <c r="D58" s="154" t="s">
        <v>129</v>
      </c>
      <c r="E58" s="154"/>
    </row>
    <row r="59" spans="2:11" ht="20.100000000000001" customHeight="1" x14ac:dyDescent="0.15">
      <c r="B59" s="145" t="s">
        <v>33</v>
      </c>
      <c r="C59" s="145" t="s">
        <v>34</v>
      </c>
      <c r="D59" s="155" t="s">
        <v>30</v>
      </c>
      <c r="E59" s="156"/>
      <c r="F59" s="145" t="s">
        <v>31</v>
      </c>
      <c r="G59" s="147" t="s">
        <v>39</v>
      </c>
      <c r="H59" s="1" t="s">
        <v>49</v>
      </c>
      <c r="I59" s="149" t="s">
        <v>50</v>
      </c>
      <c r="J59" s="150"/>
      <c r="K59" s="145" t="s">
        <v>51</v>
      </c>
    </row>
    <row r="60" spans="2:11" ht="20.100000000000001" customHeight="1" x14ac:dyDescent="0.15">
      <c r="B60" s="146"/>
      <c r="C60" s="146"/>
      <c r="D60" s="157"/>
      <c r="E60" s="158"/>
      <c r="F60" s="146"/>
      <c r="G60" s="148"/>
      <c r="H60" s="1" t="s">
        <v>48</v>
      </c>
      <c r="I60" s="1" t="s">
        <v>52</v>
      </c>
      <c r="J60" s="1" t="s">
        <v>53</v>
      </c>
      <c r="K60" s="146"/>
    </row>
    <row r="61" spans="2:11" ht="20.100000000000001" customHeight="1" x14ac:dyDescent="0.15">
      <c r="B61" s="145">
        <v>2</v>
      </c>
      <c r="C61" s="1" t="s">
        <v>1</v>
      </c>
      <c r="D61" s="152" t="s">
        <v>57</v>
      </c>
      <c r="E61" s="152"/>
      <c r="F61" s="13">
        <f>IF(D61=X$9,D$11,IF(D61=X$8,D$8,IF(OR(D61=X$5,D61=X$6,D61=X$7),D$5,0)))</f>
        <v>0</v>
      </c>
      <c r="G61" s="15">
        <v>1</v>
      </c>
      <c r="H61" s="16">
        <f>F61*G61</f>
        <v>0</v>
      </c>
      <c r="I61" s="16">
        <f>ROUND(H61,2)</f>
        <v>0</v>
      </c>
      <c r="J61" s="16" t="s">
        <v>55</v>
      </c>
      <c r="K61" s="16" t="s">
        <v>55</v>
      </c>
    </row>
    <row r="62" spans="2:11" ht="20.100000000000001" customHeight="1" x14ac:dyDescent="0.15">
      <c r="B62" s="151"/>
      <c r="C62" s="1" t="s">
        <v>2</v>
      </c>
      <c r="D62" s="152" t="s">
        <v>57</v>
      </c>
      <c r="E62" s="152"/>
      <c r="F62" s="13">
        <f>IF(D62=X$16,E$11,IF(OR(D62=X$12,D62=X$13,D62=X$14,D62=X$15),E$5,0))</f>
        <v>0</v>
      </c>
      <c r="G62" s="15">
        <v>0.5</v>
      </c>
      <c r="H62" s="16">
        <f t="shared" ref="H62:H68" si="14">F62*G62</f>
        <v>0</v>
      </c>
      <c r="I62" s="16">
        <f t="shared" ref="I62:I63" si="15">ROUND(H62,2)</f>
        <v>0</v>
      </c>
      <c r="J62" s="16" t="s">
        <v>55</v>
      </c>
      <c r="K62" s="16" t="s">
        <v>55</v>
      </c>
    </row>
    <row r="63" spans="2:11" ht="20.100000000000001" customHeight="1" x14ac:dyDescent="0.15">
      <c r="B63" s="146"/>
      <c r="C63" s="1" t="s">
        <v>3</v>
      </c>
      <c r="D63" s="152" t="s">
        <v>57</v>
      </c>
      <c r="E63" s="152"/>
      <c r="F63" s="13">
        <f>IF(D63=X$20,F$5,IF(D63=X$21,F$11,0))</f>
        <v>0</v>
      </c>
      <c r="G63" s="15">
        <v>0.5</v>
      </c>
      <c r="H63" s="16">
        <f t="shared" si="14"/>
        <v>0</v>
      </c>
      <c r="I63" s="16">
        <f t="shared" si="15"/>
        <v>0</v>
      </c>
      <c r="J63" s="16" t="s">
        <v>55</v>
      </c>
      <c r="K63" s="16" t="s">
        <v>55</v>
      </c>
    </row>
    <row r="64" spans="2:11" ht="20.100000000000001" customHeight="1" x14ac:dyDescent="0.15">
      <c r="B64" s="153">
        <v>1</v>
      </c>
      <c r="C64" s="1" t="s">
        <v>1</v>
      </c>
      <c r="D64" s="152" t="s">
        <v>20</v>
      </c>
      <c r="E64" s="152"/>
      <c r="F64" s="13">
        <f>IF(D64=X$9,D$11,IF(D64=X$8,D$8,IF(OR(D64=X$5,D64=X$6,D64=X$7),D$5,0)))</f>
        <v>1.3</v>
      </c>
      <c r="G64" s="15">
        <v>1</v>
      </c>
      <c r="H64" s="16">
        <f t="shared" si="14"/>
        <v>1.3</v>
      </c>
      <c r="I64" s="17" t="s">
        <v>56</v>
      </c>
      <c r="J64" s="17" t="s">
        <v>56</v>
      </c>
      <c r="K64" s="16">
        <f>ROUND(H64,2)</f>
        <v>1.3</v>
      </c>
    </row>
    <row r="65" spans="2:11" ht="20.100000000000001" customHeight="1" x14ac:dyDescent="0.15">
      <c r="B65" s="153"/>
      <c r="C65" s="1" t="s">
        <v>2</v>
      </c>
      <c r="D65" s="152" t="s">
        <v>22</v>
      </c>
      <c r="E65" s="152"/>
      <c r="F65" s="13">
        <f>IF(D65=X$16,E$11,IF(OR(D65=X$12,D65=X$13,D65=X$14,D65=X$15),E$5,0))</f>
        <v>0.75</v>
      </c>
      <c r="G65" s="15">
        <v>0.5</v>
      </c>
      <c r="H65" s="16">
        <f t="shared" si="14"/>
        <v>0.375</v>
      </c>
      <c r="I65" s="17" t="s">
        <v>56</v>
      </c>
      <c r="J65" s="16">
        <f>IF(I61=0,0,ROUND(H65+H62,2))</f>
        <v>0</v>
      </c>
      <c r="K65" s="16">
        <f t="shared" ref="K65:K66" si="16">ROUND(H65,2)</f>
        <v>0.38</v>
      </c>
    </row>
    <row r="66" spans="2:11" ht="20.100000000000001" customHeight="1" x14ac:dyDescent="0.15">
      <c r="B66" s="153"/>
      <c r="C66" s="1" t="s">
        <v>3</v>
      </c>
      <c r="D66" s="152" t="s">
        <v>27</v>
      </c>
      <c r="E66" s="152"/>
      <c r="F66" s="13">
        <f>IF(D66=X$20,F$5,IF(D66=X$21,F$11,0))</f>
        <v>0.2</v>
      </c>
      <c r="G66" s="15">
        <v>0.5</v>
      </c>
      <c r="H66" s="16">
        <f t="shared" si="14"/>
        <v>0.1</v>
      </c>
      <c r="I66" s="17" t="s">
        <v>56</v>
      </c>
      <c r="J66" s="16">
        <f>IF(I61=0,0,ROUND(H66+H63,2))</f>
        <v>0</v>
      </c>
      <c r="K66" s="16">
        <f t="shared" si="16"/>
        <v>0.1</v>
      </c>
    </row>
    <row r="67" spans="2:11" ht="20.100000000000001" customHeight="1" x14ac:dyDescent="0.15">
      <c r="B67" s="153"/>
      <c r="C67" s="1" t="s">
        <v>4</v>
      </c>
      <c r="D67" s="159" t="s">
        <v>35</v>
      </c>
      <c r="E67" s="160"/>
      <c r="F67" s="18">
        <v>0.6</v>
      </c>
      <c r="G67" s="15">
        <f>IF(D68="無し",0,1)</f>
        <v>0</v>
      </c>
      <c r="H67" s="16">
        <f t="shared" si="14"/>
        <v>0</v>
      </c>
      <c r="I67" s="17" t="s">
        <v>56</v>
      </c>
      <c r="J67" s="16">
        <f>IF(I61=0,0,ROUND(H67,2))</f>
        <v>0</v>
      </c>
      <c r="K67" s="17">
        <f>IF(J67=0,H67,"----")</f>
        <v>0</v>
      </c>
    </row>
    <row r="68" spans="2:11" ht="20.100000000000001" customHeight="1" x14ac:dyDescent="0.15">
      <c r="B68" s="153"/>
      <c r="C68" s="153" t="s">
        <v>5</v>
      </c>
      <c r="D68" s="160" t="s">
        <v>57</v>
      </c>
      <c r="E68" s="160"/>
      <c r="F68" s="18">
        <f>IF(D68="無し",0,0.6)</f>
        <v>0</v>
      </c>
      <c r="G68" s="16">
        <f>IF(E69=Y$26,Z$26,IF(E69=Y$27,Z$27,IF(E69=Y$28,Z$28,IF(E69=Y$30,Z$30,IF(E69=Y$31,Z$31,IF(E69=Y$32,Z$32,IF(E69=Y$25,Z$25,0)))))))</f>
        <v>1</v>
      </c>
      <c r="H68" s="16">
        <f t="shared" si="14"/>
        <v>0</v>
      </c>
      <c r="I68" s="17" t="s">
        <v>56</v>
      </c>
      <c r="J68" s="16">
        <f>IF(I61=0,0,(ROUND(H68,2)))</f>
        <v>0</v>
      </c>
      <c r="K68" s="17">
        <f>IF(J68=0,H68,"----")</f>
        <v>0</v>
      </c>
    </row>
    <row r="69" spans="2:11" ht="20.100000000000001" customHeight="1" x14ac:dyDescent="0.15">
      <c r="B69" s="153"/>
      <c r="C69" s="153"/>
      <c r="D69" s="19" t="s">
        <v>40</v>
      </c>
      <c r="E69" s="20" t="s">
        <v>41</v>
      </c>
      <c r="G69" s="139" t="s">
        <v>54</v>
      </c>
      <c r="H69" s="140"/>
      <c r="I69" s="14">
        <f>SUM(I61:I68)</f>
        <v>0</v>
      </c>
      <c r="J69" s="14">
        <f t="shared" ref="J69" si="17">SUM(J61:J68)</f>
        <v>0</v>
      </c>
      <c r="K69" s="14">
        <f t="shared" ref="K69" si="18">SUM(K61:K68)</f>
        <v>1.7800000000000002</v>
      </c>
    </row>
    <row r="70" spans="2:11" ht="20.100000000000001" customHeight="1" x14ac:dyDescent="0.15">
      <c r="G70" s="138" t="s">
        <v>176</v>
      </c>
      <c r="H70" s="138"/>
      <c r="I70" s="125">
        <f>I62+I63</f>
        <v>0</v>
      </c>
      <c r="J70" s="125">
        <f>I70</f>
        <v>0</v>
      </c>
    </row>
    <row r="71" spans="2:11" ht="20.100000000000001" customHeight="1" x14ac:dyDescent="0.15"/>
    <row r="72" spans="2:11" ht="20.100000000000001" customHeight="1" x14ac:dyDescent="0.15">
      <c r="C72" s="12" t="s">
        <v>29</v>
      </c>
      <c r="D72" s="154" t="s">
        <v>131</v>
      </c>
      <c r="E72" s="154"/>
    </row>
    <row r="73" spans="2:11" ht="20.100000000000001" customHeight="1" x14ac:dyDescent="0.15">
      <c r="B73" s="145" t="s">
        <v>33</v>
      </c>
      <c r="C73" s="145" t="s">
        <v>34</v>
      </c>
      <c r="D73" s="155" t="s">
        <v>30</v>
      </c>
      <c r="E73" s="156"/>
      <c r="F73" s="145" t="s">
        <v>31</v>
      </c>
      <c r="G73" s="147" t="s">
        <v>39</v>
      </c>
      <c r="H73" s="1" t="s">
        <v>49</v>
      </c>
      <c r="I73" s="149" t="s">
        <v>50</v>
      </c>
      <c r="J73" s="150"/>
      <c r="K73" s="145" t="s">
        <v>51</v>
      </c>
    </row>
    <row r="74" spans="2:11" ht="20.100000000000001" customHeight="1" x14ac:dyDescent="0.15">
      <c r="B74" s="146"/>
      <c r="C74" s="146"/>
      <c r="D74" s="157"/>
      <c r="E74" s="158"/>
      <c r="F74" s="146"/>
      <c r="G74" s="148"/>
      <c r="H74" s="1" t="s">
        <v>48</v>
      </c>
      <c r="I74" s="1" t="s">
        <v>52</v>
      </c>
      <c r="J74" s="1" t="s">
        <v>53</v>
      </c>
      <c r="K74" s="146"/>
    </row>
    <row r="75" spans="2:11" ht="20.100000000000001" customHeight="1" x14ac:dyDescent="0.15">
      <c r="B75" s="145">
        <v>2</v>
      </c>
      <c r="C75" s="1" t="s">
        <v>1</v>
      </c>
      <c r="D75" s="152" t="s">
        <v>57</v>
      </c>
      <c r="E75" s="152"/>
      <c r="F75" s="13">
        <f>IF(D75=X$9,D$11,IF(D75=X$8,D$8,IF(OR(D75=X$5,D75=X$6,D75=X$7),D$5,0)))</f>
        <v>0</v>
      </c>
      <c r="G75" s="15">
        <v>1</v>
      </c>
      <c r="H75" s="16">
        <f>F75*G75</f>
        <v>0</v>
      </c>
      <c r="I75" s="16">
        <f>ROUND(H75,2)</f>
        <v>0</v>
      </c>
      <c r="J75" s="16" t="s">
        <v>55</v>
      </c>
      <c r="K75" s="16" t="s">
        <v>55</v>
      </c>
    </row>
    <row r="76" spans="2:11" ht="20.100000000000001" customHeight="1" x14ac:dyDescent="0.15">
      <c r="B76" s="151"/>
      <c r="C76" s="1" t="s">
        <v>2</v>
      </c>
      <c r="D76" s="152" t="s">
        <v>57</v>
      </c>
      <c r="E76" s="152"/>
      <c r="F76" s="13">
        <f>IF(D76=X$16,E$11,IF(OR(D76=X$12,D76=X$13,D76=X$14,D76=X$15),E$5,0))</f>
        <v>0</v>
      </c>
      <c r="G76" s="15">
        <v>0.5</v>
      </c>
      <c r="H76" s="16">
        <f t="shared" ref="H76:H82" si="19">F76*G76</f>
        <v>0</v>
      </c>
      <c r="I76" s="16">
        <f t="shared" ref="I76:I77" si="20">ROUND(H76,2)</f>
        <v>0</v>
      </c>
      <c r="J76" s="16" t="s">
        <v>55</v>
      </c>
      <c r="K76" s="16" t="s">
        <v>55</v>
      </c>
    </row>
    <row r="77" spans="2:11" ht="20.100000000000001" customHeight="1" x14ac:dyDescent="0.15">
      <c r="B77" s="146"/>
      <c r="C77" s="1" t="s">
        <v>3</v>
      </c>
      <c r="D77" s="152" t="s">
        <v>57</v>
      </c>
      <c r="E77" s="152"/>
      <c r="F77" s="13">
        <f>IF(D77=X$20,F$5,IF(D77=X$21,F$11,0))</f>
        <v>0</v>
      </c>
      <c r="G77" s="15">
        <v>0.5</v>
      </c>
      <c r="H77" s="16">
        <f t="shared" si="19"/>
        <v>0</v>
      </c>
      <c r="I77" s="16">
        <f t="shared" si="20"/>
        <v>0</v>
      </c>
      <c r="J77" s="16" t="s">
        <v>55</v>
      </c>
      <c r="K77" s="16" t="s">
        <v>55</v>
      </c>
    </row>
    <row r="78" spans="2:11" ht="20.100000000000001" customHeight="1" x14ac:dyDescent="0.15">
      <c r="B78" s="153">
        <v>1</v>
      </c>
      <c r="C78" s="1" t="s">
        <v>1</v>
      </c>
      <c r="D78" s="152" t="s">
        <v>57</v>
      </c>
      <c r="E78" s="152"/>
      <c r="F78" s="13">
        <f>IF(D78=X$9,D$11,IF(D78=X$8,D$8,IF(OR(D78=X$5,D78=X$6,D78=X$7),D$5,0)))</f>
        <v>0</v>
      </c>
      <c r="G78" s="15">
        <v>1</v>
      </c>
      <c r="H78" s="16">
        <f t="shared" si="19"/>
        <v>0</v>
      </c>
      <c r="I78" s="17" t="s">
        <v>56</v>
      </c>
      <c r="J78" s="17" t="s">
        <v>56</v>
      </c>
      <c r="K78" s="16">
        <f>ROUND(H78,2)</f>
        <v>0</v>
      </c>
    </row>
    <row r="79" spans="2:11" ht="20.100000000000001" customHeight="1" x14ac:dyDescent="0.15">
      <c r="B79" s="153"/>
      <c r="C79" s="1" t="s">
        <v>2</v>
      </c>
      <c r="D79" s="152" t="s">
        <v>57</v>
      </c>
      <c r="E79" s="152"/>
      <c r="F79" s="13">
        <f>IF(D79=X$16,E$11,IF(OR(D79=X$12,D79=X$13,D79=X$14,D79=X$15),E$5,0))</f>
        <v>0</v>
      </c>
      <c r="G79" s="15">
        <v>0.5</v>
      </c>
      <c r="H79" s="16">
        <f t="shared" si="19"/>
        <v>0</v>
      </c>
      <c r="I79" s="17" t="s">
        <v>56</v>
      </c>
      <c r="J79" s="16">
        <f>IF(I75=0,0,ROUND(H79+H76,2))</f>
        <v>0</v>
      </c>
      <c r="K79" s="16">
        <f t="shared" ref="K79:K80" si="21">ROUND(H79,2)</f>
        <v>0</v>
      </c>
    </row>
    <row r="80" spans="2:11" ht="20.100000000000001" customHeight="1" x14ac:dyDescent="0.15">
      <c r="B80" s="153"/>
      <c r="C80" s="1" t="s">
        <v>3</v>
      </c>
      <c r="D80" s="152" t="s">
        <v>57</v>
      </c>
      <c r="E80" s="152"/>
      <c r="F80" s="13">
        <f>IF(D80=X$20,F$5,IF(D80=X$21,F$11,0))</f>
        <v>0</v>
      </c>
      <c r="G80" s="15">
        <v>0.5</v>
      </c>
      <c r="H80" s="16">
        <f t="shared" si="19"/>
        <v>0</v>
      </c>
      <c r="I80" s="17" t="s">
        <v>56</v>
      </c>
      <c r="J80" s="16">
        <f>IF(I75=0,0,ROUND(H80+H77,2))</f>
        <v>0</v>
      </c>
      <c r="K80" s="16">
        <f t="shared" si="21"/>
        <v>0</v>
      </c>
    </row>
    <row r="81" spans="2:11" ht="20.100000000000001" customHeight="1" x14ac:dyDescent="0.15">
      <c r="B81" s="153"/>
      <c r="C81" s="1" t="s">
        <v>4</v>
      </c>
      <c r="D81" s="159" t="s">
        <v>35</v>
      </c>
      <c r="E81" s="160"/>
      <c r="F81" s="18">
        <v>0.6</v>
      </c>
      <c r="G81" s="15">
        <f>IF(D82="無し",0,1)</f>
        <v>0</v>
      </c>
      <c r="H81" s="16">
        <f t="shared" si="19"/>
        <v>0</v>
      </c>
      <c r="I81" s="17" t="s">
        <v>56</v>
      </c>
      <c r="J81" s="16">
        <f>IF(I75=0,0,ROUND(H81,2))</f>
        <v>0</v>
      </c>
      <c r="K81" s="17">
        <f>IF(J81=0,H81,"----")</f>
        <v>0</v>
      </c>
    </row>
    <row r="82" spans="2:11" ht="20.100000000000001" customHeight="1" x14ac:dyDescent="0.15">
      <c r="B82" s="153"/>
      <c r="C82" s="153" t="s">
        <v>5</v>
      </c>
      <c r="D82" s="160" t="s">
        <v>57</v>
      </c>
      <c r="E82" s="160"/>
      <c r="F82" s="18">
        <f>IF(D82="無し",0,0.6)</f>
        <v>0</v>
      </c>
      <c r="G82" s="16">
        <f>IF(E83=Y$26,Z$26,IF(E83=Y$27,Z$27,IF(E83=Y$28,Z$28,IF(E83=Y$30,Z$30,IF(E83=Y$31,Z$31,IF(E83=Y$32,Z$32,IF(E83=Y$25,Z$25,0)))))))</f>
        <v>1</v>
      </c>
      <c r="H82" s="16">
        <f t="shared" si="19"/>
        <v>0</v>
      </c>
      <c r="I82" s="17" t="s">
        <v>56</v>
      </c>
      <c r="J82" s="16">
        <f>IF(I75=0,0,(ROUND(H82,2)))</f>
        <v>0</v>
      </c>
      <c r="K82" s="17">
        <f>IF(J82=0,H82,"----")</f>
        <v>0</v>
      </c>
    </row>
    <row r="83" spans="2:11" ht="20.100000000000001" customHeight="1" x14ac:dyDescent="0.15">
      <c r="B83" s="153"/>
      <c r="C83" s="153"/>
      <c r="D83" s="19" t="s">
        <v>40</v>
      </c>
      <c r="E83" s="20" t="s">
        <v>41</v>
      </c>
      <c r="G83" s="139" t="s">
        <v>54</v>
      </c>
      <c r="H83" s="140"/>
      <c r="I83" s="14">
        <f>SUM(I75:I82)</f>
        <v>0</v>
      </c>
      <c r="J83" s="14">
        <f t="shared" ref="J83" si="22">SUM(J75:J82)</f>
        <v>0</v>
      </c>
      <c r="K83" s="14">
        <f t="shared" ref="K83" si="23">SUM(K75:K82)</f>
        <v>0</v>
      </c>
    </row>
    <row r="84" spans="2:11" ht="20.100000000000001" customHeight="1" x14ac:dyDescent="0.15">
      <c r="G84" s="138" t="s">
        <v>176</v>
      </c>
      <c r="H84" s="138"/>
      <c r="I84" s="125">
        <f>I76+I77</f>
        <v>0</v>
      </c>
      <c r="J84" s="125">
        <f>I84</f>
        <v>0</v>
      </c>
    </row>
    <row r="85" spans="2:11" ht="20.100000000000001" customHeight="1" x14ac:dyDescent="0.15"/>
    <row r="86" spans="2:11" ht="20.100000000000001" customHeight="1" x14ac:dyDescent="0.15"/>
    <row r="87" spans="2:11" ht="20.100000000000001" customHeight="1" x14ac:dyDescent="0.15"/>
    <row r="88" spans="2:11" ht="20.100000000000001" customHeight="1" x14ac:dyDescent="0.15"/>
    <row r="89" spans="2:11" ht="20.100000000000001" customHeight="1" x14ac:dyDescent="0.15"/>
    <row r="90" spans="2:11" ht="20.100000000000001" customHeight="1" x14ac:dyDescent="0.15"/>
    <row r="91" spans="2:11" ht="20.100000000000001" customHeight="1" x14ac:dyDescent="0.15"/>
    <row r="92" spans="2:11" ht="20.100000000000001" customHeight="1" x14ac:dyDescent="0.15"/>
    <row r="93" spans="2:11" ht="20.100000000000001" customHeight="1" x14ac:dyDescent="0.15"/>
    <row r="94" spans="2:11" ht="20.100000000000001" customHeight="1" x14ac:dyDescent="0.15"/>
    <row r="95" spans="2:11" ht="20.100000000000001" customHeight="1" x14ac:dyDescent="0.15"/>
    <row r="96" spans="2:11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mergeCells count="128">
    <mergeCell ref="F11:F13"/>
    <mergeCell ref="G11:G13"/>
    <mergeCell ref="H11:H13"/>
    <mergeCell ref="D8:D10"/>
    <mergeCell ref="E8:E10"/>
    <mergeCell ref="F8:F10"/>
    <mergeCell ref="G8:G10"/>
    <mergeCell ref="H8:H10"/>
    <mergeCell ref="I4:K4"/>
    <mergeCell ref="D5:D7"/>
    <mergeCell ref="E5:E7"/>
    <mergeCell ref="F5:F7"/>
    <mergeCell ref="G5:G7"/>
    <mergeCell ref="H5:H7"/>
    <mergeCell ref="B5:C7"/>
    <mergeCell ref="B8:C10"/>
    <mergeCell ref="B11:C13"/>
    <mergeCell ref="B4:C4"/>
    <mergeCell ref="B19:B21"/>
    <mergeCell ref="D22:E22"/>
    <mergeCell ref="D23:E23"/>
    <mergeCell ref="D25:E25"/>
    <mergeCell ref="D26:E26"/>
    <mergeCell ref="D20:E20"/>
    <mergeCell ref="D21:E21"/>
    <mergeCell ref="D19:E19"/>
    <mergeCell ref="D11:D13"/>
    <mergeCell ref="E11:E13"/>
    <mergeCell ref="F17:F18"/>
    <mergeCell ref="G17:G18"/>
    <mergeCell ref="I17:J17"/>
    <mergeCell ref="K17:K18"/>
    <mergeCell ref="G27:H27"/>
    <mergeCell ref="D24:E24"/>
    <mergeCell ref="D16:E16"/>
    <mergeCell ref="C26:C27"/>
    <mergeCell ref="B22:B27"/>
    <mergeCell ref="B17:B18"/>
    <mergeCell ref="C17:C18"/>
    <mergeCell ref="D17:E18"/>
    <mergeCell ref="D44:E44"/>
    <mergeCell ref="B45:B46"/>
    <mergeCell ref="C45:C46"/>
    <mergeCell ref="D82:E82"/>
    <mergeCell ref="B78:B83"/>
    <mergeCell ref="D78:E78"/>
    <mergeCell ref="C82:C83"/>
    <mergeCell ref="D79:E79"/>
    <mergeCell ref="D80:E80"/>
    <mergeCell ref="D81:E81"/>
    <mergeCell ref="D76:E76"/>
    <mergeCell ref="B73:B74"/>
    <mergeCell ref="C73:C74"/>
    <mergeCell ref="D73:E74"/>
    <mergeCell ref="D67:E67"/>
    <mergeCell ref="D68:E68"/>
    <mergeCell ref="D72:E72"/>
    <mergeCell ref="D64:E64"/>
    <mergeCell ref="D65:E65"/>
    <mergeCell ref="D66:E66"/>
    <mergeCell ref="D61:E61"/>
    <mergeCell ref="D52:E52"/>
    <mergeCell ref="D53:E53"/>
    <mergeCell ref="D54:E54"/>
    <mergeCell ref="B33:B35"/>
    <mergeCell ref="D33:E33"/>
    <mergeCell ref="B36:B41"/>
    <mergeCell ref="C40:C41"/>
    <mergeCell ref="G41:H41"/>
    <mergeCell ref="D30:E30"/>
    <mergeCell ref="B31:B32"/>
    <mergeCell ref="C31:C32"/>
    <mergeCell ref="D31:E32"/>
    <mergeCell ref="F31:F32"/>
    <mergeCell ref="G31:G32"/>
    <mergeCell ref="D34:E34"/>
    <mergeCell ref="D35:E35"/>
    <mergeCell ref="D36:E36"/>
    <mergeCell ref="D37:E37"/>
    <mergeCell ref="D38:E38"/>
    <mergeCell ref="D39:E39"/>
    <mergeCell ref="D40:E40"/>
    <mergeCell ref="D58:E58"/>
    <mergeCell ref="B59:B60"/>
    <mergeCell ref="C59:C60"/>
    <mergeCell ref="D59:E60"/>
    <mergeCell ref="F59:F60"/>
    <mergeCell ref="G59:G60"/>
    <mergeCell ref="F45:F46"/>
    <mergeCell ref="G45:G46"/>
    <mergeCell ref="I45:J45"/>
    <mergeCell ref="B47:B49"/>
    <mergeCell ref="D47:E47"/>
    <mergeCell ref="D48:E48"/>
    <mergeCell ref="B50:B55"/>
    <mergeCell ref="C54:C55"/>
    <mergeCell ref="D49:E49"/>
    <mergeCell ref="D50:E50"/>
    <mergeCell ref="D51:E51"/>
    <mergeCell ref="D45:E46"/>
    <mergeCell ref="F73:F74"/>
    <mergeCell ref="G73:G74"/>
    <mergeCell ref="I73:J73"/>
    <mergeCell ref="K73:K74"/>
    <mergeCell ref="B75:B77"/>
    <mergeCell ref="D75:E75"/>
    <mergeCell ref="D77:E77"/>
    <mergeCell ref="I59:J59"/>
    <mergeCell ref="K59:K60"/>
    <mergeCell ref="B61:B63"/>
    <mergeCell ref="D62:E62"/>
    <mergeCell ref="D63:E63"/>
    <mergeCell ref="B64:B69"/>
    <mergeCell ref="C68:C69"/>
    <mergeCell ref="G69:H69"/>
    <mergeCell ref="G28:H28"/>
    <mergeCell ref="G42:H42"/>
    <mergeCell ref="G56:H56"/>
    <mergeCell ref="G70:H70"/>
    <mergeCell ref="G84:H84"/>
    <mergeCell ref="G83:H83"/>
    <mergeCell ref="R10:S10"/>
    <mergeCell ref="R21:S21"/>
    <mergeCell ref="O25:P25"/>
    <mergeCell ref="G55:H55"/>
    <mergeCell ref="K45:K46"/>
    <mergeCell ref="I31:J31"/>
    <mergeCell ref="K31:K32"/>
  </mergeCells>
  <phoneticPr fontId="1"/>
  <dataValidations count="5">
    <dataValidation type="list" allowBlank="1" showInputMessage="1" showErrorMessage="1" sqref="E27 E41 E55 E69 E83" xr:uid="{3EAB1EE0-9774-4D04-ACD8-D3C692C5104E}">
      <formula1>$Y$25:$Y$32</formula1>
    </dataValidation>
    <dataValidation type="list" allowBlank="1" showInputMessage="1" showErrorMessage="1" sqref="D19:E19 D78:E78 D75:E75 D64:E64 D61:E61 D50:E50 D47:E47 D36:E36 D33:E33 D22:E22" xr:uid="{711C331F-37D4-4A4D-927B-6D79E5EC467F}">
      <formula1>$X$4:$X$9</formula1>
    </dataValidation>
    <dataValidation type="list" allowBlank="1" showInputMessage="1" showErrorMessage="1" sqref="D20:E20 D79:E79 D76:E76 D65:E65 D62:E62 D51:E51 D48:E48 D37:E37 D34:E34 D23:E23" xr:uid="{C9A8718F-DD6F-4595-A7F5-1E45A376D27F}">
      <formula1>$X$11:$X$16</formula1>
    </dataValidation>
    <dataValidation type="list" allowBlank="1" showInputMessage="1" showErrorMessage="1" sqref="D21:E21 D80:E80 D77:E77 D66:E66 D63:E63 D52:E52 D49:E49 D38:E38 D35:E35 D24:E24" xr:uid="{72E47FEB-4BC5-46C5-AA98-93F3F126FDED}">
      <formula1>$X$19:$X$21</formula1>
    </dataValidation>
    <dataValidation type="list" allowBlank="1" showInputMessage="1" showErrorMessage="1" sqref="D26:E26 D82:E82 D68:E68 D54:E54 D40:E40" xr:uid="{4824FA0F-BA8F-4283-8430-4A57875D1DB4}">
      <formula1>$X$23:$X$25</formula1>
    </dataValidation>
  </dataValidations>
  <pageMargins left="0.70866141732283472" right="0.31496062992125984" top="0.55118110236220474" bottom="0.35433070866141736" header="0.31496062992125984" footer="0.31496062992125984"/>
  <pageSetup paperSize="9" orientation="portrait" r:id="rId1"/>
  <rowBreaks count="1" manualBreakCount="1">
    <brk id="4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7C3F-1F0B-429B-B2B5-4BE57CBAE2CF}">
  <dimension ref="A1:V54"/>
  <sheetViews>
    <sheetView topLeftCell="G1" workbookViewId="0">
      <selection activeCell="R4" sqref="R4"/>
    </sheetView>
  </sheetViews>
  <sheetFormatPr defaultRowHeight="13.5" x14ac:dyDescent="0.15"/>
  <cols>
    <col min="1" max="1" width="1.453125" customWidth="1"/>
    <col min="2" max="3" width="3.1796875" customWidth="1"/>
    <col min="4" max="4" width="5.7265625" customWidth="1"/>
    <col min="5" max="9" width="6.1796875" customWidth="1"/>
    <col min="10" max="11" width="6.7265625" customWidth="1"/>
    <col min="12" max="12" width="5.453125" customWidth="1"/>
    <col min="13" max="13" width="1.54296875" customWidth="1"/>
    <col min="14" max="14" width="2.1796875" customWidth="1"/>
    <col min="15" max="17" width="5.453125" customWidth="1"/>
    <col min="23" max="23" width="2.1796875" customWidth="1"/>
  </cols>
  <sheetData>
    <row r="1" spans="1:22" ht="20.25" customHeight="1" x14ac:dyDescent="0.15">
      <c r="A1" s="11"/>
      <c r="B1" s="11" t="s">
        <v>67</v>
      </c>
      <c r="C1" s="11"/>
      <c r="D1" s="11"/>
      <c r="E1" s="11"/>
      <c r="F1" s="11"/>
      <c r="G1" s="11"/>
      <c r="H1" s="11"/>
      <c r="I1" s="11"/>
      <c r="J1" s="126" t="s">
        <v>177</v>
      </c>
      <c r="K1" s="11"/>
      <c r="L1" s="11"/>
      <c r="M1" s="11"/>
      <c r="N1" s="11"/>
      <c r="O1" s="11" t="s">
        <v>68</v>
      </c>
      <c r="P1" s="11"/>
      <c r="Q1" s="11"/>
      <c r="R1" s="11"/>
      <c r="S1" s="11"/>
      <c r="T1" s="11"/>
      <c r="U1" s="11"/>
      <c r="V1" s="11"/>
    </row>
    <row r="2" spans="1:22" ht="17.100000000000001" customHeight="1" x14ac:dyDescent="0.15">
      <c r="A2" s="11"/>
      <c r="B2" s="11"/>
      <c r="C2" s="11"/>
      <c r="D2" s="11"/>
      <c r="E2" s="11"/>
      <c r="F2" s="171" t="s">
        <v>69</v>
      </c>
      <c r="G2" s="171" t="s">
        <v>119</v>
      </c>
      <c r="H2" s="171"/>
      <c r="I2" s="172" t="s">
        <v>51</v>
      </c>
      <c r="J2" s="54" t="s">
        <v>178</v>
      </c>
      <c r="K2" s="59">
        <v>1.1499999999999999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7.100000000000001" customHeight="1" x14ac:dyDescent="0.15">
      <c r="A3" s="11"/>
      <c r="B3" s="11"/>
      <c r="C3" s="11"/>
      <c r="D3" s="11"/>
      <c r="E3" s="11"/>
      <c r="F3" s="171"/>
      <c r="G3" s="55" t="s">
        <v>120</v>
      </c>
      <c r="H3" s="55" t="s">
        <v>53</v>
      </c>
      <c r="I3" s="172"/>
      <c r="J3" s="55" t="s">
        <v>120</v>
      </c>
      <c r="K3" s="55" t="s">
        <v>53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7.100000000000001" customHeight="1" x14ac:dyDescent="0.15">
      <c r="A4" s="11"/>
      <c r="B4" s="11"/>
      <c r="C4" s="11"/>
      <c r="D4" s="11"/>
      <c r="E4" s="11"/>
      <c r="F4" s="56" t="str">
        <f>重量表!D16</f>
        <v>既存一般</v>
      </c>
      <c r="G4" s="57">
        <f>重量表!I27</f>
        <v>3.23</v>
      </c>
      <c r="H4" s="57">
        <f>重量表!J27</f>
        <v>2.85</v>
      </c>
      <c r="I4" s="58">
        <f>重量表!K27</f>
        <v>3.23</v>
      </c>
      <c r="J4" s="127">
        <f>(重量表!I27-重量表!I28+重量表!I28*K$2)</f>
        <v>3.3544999999999998</v>
      </c>
      <c r="K4" s="127">
        <f>(重量表!J27-重量表!J28+重量表!J28*K2)</f>
        <v>2.9744999999999999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17.100000000000001" customHeight="1" x14ac:dyDescent="0.15">
      <c r="A5" s="11"/>
      <c r="B5" s="11"/>
      <c r="C5" s="11"/>
      <c r="D5" s="11"/>
      <c r="E5" s="11"/>
      <c r="F5" s="56" t="str">
        <f>重量表!D30</f>
        <v>既存小屋裏</v>
      </c>
      <c r="G5" s="57">
        <f>重量表!I41</f>
        <v>0</v>
      </c>
      <c r="H5" s="57">
        <f>重量表!J41</f>
        <v>0</v>
      </c>
      <c r="I5" s="58">
        <f>重量表!K41</f>
        <v>4.2320000000000002</v>
      </c>
      <c r="J5" s="127">
        <f>(重量表!I41-重量表!I42+重量表!I42*K2)</f>
        <v>0</v>
      </c>
      <c r="K5" s="127">
        <f>(重量表!J41-重量表!J42+重量表!J42*K2)</f>
        <v>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17.100000000000001" customHeight="1" x14ac:dyDescent="0.15">
      <c r="A6" s="11"/>
      <c r="B6" s="11"/>
      <c r="C6" s="11"/>
      <c r="D6" s="11"/>
      <c r="E6" s="11"/>
      <c r="F6" s="56" t="str">
        <f>重量表!D44</f>
        <v>既存吹抜</v>
      </c>
      <c r="G6" s="57">
        <f>重量表!I55</f>
        <v>3.23</v>
      </c>
      <c r="H6" s="57">
        <f>重量表!J55</f>
        <v>1.65</v>
      </c>
      <c r="I6" s="58">
        <f>重量表!K55</f>
        <v>3.23</v>
      </c>
      <c r="J6" s="127">
        <f>(重量表!I55-重量表!I56+重量表!I56*K2)</f>
        <v>3.3544999999999998</v>
      </c>
      <c r="K6" s="127">
        <f>(重量表!J55-重量表!J56+重量表!J56*K2)</f>
        <v>1.7744999999999997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7.100000000000001" customHeight="1" x14ac:dyDescent="0.15">
      <c r="A7" s="11"/>
      <c r="B7" s="11"/>
      <c r="C7" s="11"/>
      <c r="D7" s="11"/>
      <c r="E7" s="11"/>
      <c r="F7" s="56" t="str">
        <f>重量表!D58</f>
        <v>増築</v>
      </c>
      <c r="G7" s="57">
        <f>重量表!I69</f>
        <v>0</v>
      </c>
      <c r="H7" s="57">
        <f>重量表!J69</f>
        <v>0</v>
      </c>
      <c r="I7" s="58">
        <f>重量表!K69</f>
        <v>1.7800000000000002</v>
      </c>
      <c r="J7" s="127">
        <f>(重量表!I69-重量表!I70+重量表!I70*K2)</f>
        <v>0</v>
      </c>
      <c r="K7" s="127">
        <f>(重量表!J69-重量表!J70+重量表!J70*K2)</f>
        <v>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17.100000000000001" customHeight="1" x14ac:dyDescent="0.15">
      <c r="A8" s="11"/>
      <c r="B8" s="11"/>
      <c r="C8" s="11"/>
      <c r="D8" s="11"/>
      <c r="E8" s="11"/>
      <c r="F8" s="56" t="str">
        <f>重量表!D72</f>
        <v>中庭</v>
      </c>
      <c r="G8" s="57">
        <f>重量表!I83</f>
        <v>0</v>
      </c>
      <c r="H8" s="57">
        <f>重量表!J83</f>
        <v>0</v>
      </c>
      <c r="I8" s="58">
        <f>重量表!K83</f>
        <v>0</v>
      </c>
      <c r="J8" s="127">
        <f>(重量表!I83-重量表!I84+重量表!I84*K2)</f>
        <v>0</v>
      </c>
      <c r="K8" s="127">
        <f>(重量表!J83-重量表!J84+重量表!J84*K2)</f>
        <v>0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0.25" customHeight="1" x14ac:dyDescent="0.15">
      <c r="A9" s="11"/>
      <c r="B9" s="11" t="s">
        <v>70</v>
      </c>
      <c r="C9" s="11"/>
      <c r="D9" s="11"/>
      <c r="E9" s="11"/>
      <c r="F9" s="12"/>
      <c r="G9" s="12"/>
      <c r="H9" s="12"/>
      <c r="I9" s="12"/>
      <c r="J9" s="11"/>
      <c r="K9" s="11"/>
      <c r="L9" s="11"/>
      <c r="M9" s="11"/>
      <c r="N9" s="11"/>
      <c r="O9" s="11" t="s">
        <v>71</v>
      </c>
      <c r="P9" s="11"/>
      <c r="Q9" s="11"/>
      <c r="R9" s="11"/>
      <c r="S9" s="11"/>
      <c r="T9" s="11"/>
      <c r="U9" s="11"/>
      <c r="V9" s="11"/>
    </row>
    <row r="10" spans="1:22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x14ac:dyDescent="0.15">
      <c r="A11" s="11"/>
      <c r="B11" s="184" t="s">
        <v>32</v>
      </c>
      <c r="C11" s="186" t="s">
        <v>72</v>
      </c>
      <c r="D11" s="195" t="s">
        <v>73</v>
      </c>
      <c r="E11" s="186" t="s">
        <v>74</v>
      </c>
      <c r="F11" s="186"/>
      <c r="G11" s="186" t="s">
        <v>75</v>
      </c>
      <c r="H11" s="186"/>
      <c r="I11" s="44" t="s">
        <v>76</v>
      </c>
      <c r="J11" s="44" t="s">
        <v>77</v>
      </c>
      <c r="K11" s="44" t="s">
        <v>78</v>
      </c>
      <c r="L11" s="186" t="s">
        <v>79</v>
      </c>
      <c r="M11" s="39"/>
      <c r="N11" s="40"/>
      <c r="O11" s="185" t="s">
        <v>32</v>
      </c>
      <c r="P11" s="187" t="s">
        <v>72</v>
      </c>
      <c r="Q11" s="44" t="s">
        <v>76</v>
      </c>
      <c r="R11" s="67" t="s">
        <v>80</v>
      </c>
      <c r="S11" s="193" t="s">
        <v>81</v>
      </c>
      <c r="T11" s="187"/>
      <c r="U11" s="193" t="s">
        <v>82</v>
      </c>
      <c r="V11" s="194"/>
    </row>
    <row r="12" spans="1:22" x14ac:dyDescent="0.15">
      <c r="A12" s="11"/>
      <c r="B12" s="178"/>
      <c r="C12" s="183"/>
      <c r="D12" s="196"/>
      <c r="E12" s="45" t="s">
        <v>83</v>
      </c>
      <c r="F12" s="45" t="s">
        <v>84</v>
      </c>
      <c r="G12" s="45" t="s">
        <v>85</v>
      </c>
      <c r="H12" s="45" t="s">
        <v>86</v>
      </c>
      <c r="I12" s="45" t="s">
        <v>48</v>
      </c>
      <c r="J12" s="45" t="s">
        <v>87</v>
      </c>
      <c r="K12" s="45" t="s">
        <v>88</v>
      </c>
      <c r="L12" s="183"/>
      <c r="M12" s="39"/>
      <c r="N12" s="40"/>
      <c r="O12" s="182"/>
      <c r="P12" s="188"/>
      <c r="Q12" s="45" t="s">
        <v>48</v>
      </c>
      <c r="R12" s="70" t="s">
        <v>88</v>
      </c>
      <c r="S12" s="71" t="s">
        <v>89</v>
      </c>
      <c r="T12" s="70" t="s">
        <v>90</v>
      </c>
      <c r="U12" s="72" t="s">
        <v>91</v>
      </c>
      <c r="V12" s="73" t="s">
        <v>92</v>
      </c>
    </row>
    <row r="13" spans="1:22" x14ac:dyDescent="0.15">
      <c r="A13" s="11"/>
      <c r="B13" s="178" t="s">
        <v>93</v>
      </c>
      <c r="C13" s="46" t="s">
        <v>132</v>
      </c>
      <c r="D13" s="41" t="s">
        <v>122</v>
      </c>
      <c r="E13" s="47">
        <v>8.19</v>
      </c>
      <c r="F13" s="47">
        <v>4.55</v>
      </c>
      <c r="G13" s="47">
        <v>5.46</v>
      </c>
      <c r="H13" s="47">
        <v>0</v>
      </c>
      <c r="I13" s="48">
        <f>IF(D13=F$4,J$4,IF(D13=F$5,J$5,IF(D13=F$6,J$6,IF(D13=F$7,J$7,IF(D13=F$8,J$8,"")))))</f>
        <v>3.3544999999999998</v>
      </c>
      <c r="J13" s="49">
        <f t="shared" ref="J13:J18" si="0">IF(E13&lt;&gt;0,E13*F13,"")</f>
        <v>37.264499999999998</v>
      </c>
      <c r="K13" s="49">
        <f t="shared" ref="K13:K18" si="1">IF(E13&lt;&gt;"",E13*F13*I13,"")</f>
        <v>125.00376524999999</v>
      </c>
      <c r="L13" s="46"/>
      <c r="M13" s="39"/>
      <c r="N13" s="40"/>
      <c r="O13" s="185" t="s">
        <v>93</v>
      </c>
      <c r="P13" s="74" t="str">
        <f t="shared" ref="P13:P18" si="2">IF(C13&lt;&gt;"",C13,"")</f>
        <v>ア</v>
      </c>
      <c r="Q13" s="128">
        <f>IF(D13=F$4,G$4,IF(D13=F$5,G$5,IF(D13=F$6,G$6,IF(D13=F$7,G$7,IF(D13=F$8,G$8,"")))))</f>
        <v>3.23</v>
      </c>
      <c r="R13" s="131">
        <f>IF(J13&lt;&gt;"",J13*Q13,"")</f>
        <v>120.364335</v>
      </c>
      <c r="S13" s="76">
        <f t="shared" ref="S13:S18" si="3">IF(R13&lt;&gt;"",G13+F13/2,"")</f>
        <v>7.7349999999999994</v>
      </c>
      <c r="T13" s="75">
        <f t="shared" ref="T13:T18" si="4">IF(R13&lt;&gt;"",R13*S13,"")</f>
        <v>931.01813122499993</v>
      </c>
      <c r="U13" s="77">
        <f t="shared" ref="U13:U19" si="5">IF(R13&lt;&gt;"",H13+E13/2,"")</f>
        <v>4.0949999999999998</v>
      </c>
      <c r="V13" s="78">
        <f t="shared" ref="V13:V18" si="6">IF(R13&lt;&gt;"",R13*U13,"")</f>
        <v>492.89195182499998</v>
      </c>
    </row>
    <row r="14" spans="1:22" x14ac:dyDescent="0.15">
      <c r="A14" s="11"/>
      <c r="B14" s="178"/>
      <c r="C14" s="46" t="s">
        <v>133</v>
      </c>
      <c r="D14" s="41" t="s">
        <v>122</v>
      </c>
      <c r="E14" s="47">
        <v>1.82</v>
      </c>
      <c r="F14" s="47">
        <v>2.73</v>
      </c>
      <c r="G14" s="47">
        <v>2.73</v>
      </c>
      <c r="H14" s="47">
        <v>2.73</v>
      </c>
      <c r="I14" s="48">
        <f t="shared" ref="I14:I18" si="7">IF(D14=F$4,J$4,IF(D14=F$5,J$5,IF(D14=F$6,J$6,IF(D14=F$7,J$7,IF(D14=F$8,J$8,"")))))</f>
        <v>3.3544999999999998</v>
      </c>
      <c r="J14" s="49">
        <f t="shared" si="0"/>
        <v>4.9686000000000003</v>
      </c>
      <c r="K14" s="49">
        <f t="shared" si="1"/>
        <v>16.667168700000001</v>
      </c>
      <c r="L14" s="46"/>
      <c r="M14" s="39"/>
      <c r="N14" s="40"/>
      <c r="O14" s="182"/>
      <c r="P14" s="79" t="str">
        <f t="shared" si="2"/>
        <v>ウ</v>
      </c>
      <c r="Q14" s="129">
        <f t="shared" ref="Q14:Q18" si="8">IF(D14=F$4,G$4,IF(D14=F$5,G$5,IF(D14=F$6,G$6,IF(D14=F$7,G$7,IF(D14=F$8,G$8,"")))))</f>
        <v>3.23</v>
      </c>
      <c r="R14" s="132">
        <f t="shared" ref="R14:R18" si="9">IF(J14&lt;&gt;"",J14*Q14,"")</f>
        <v>16.048578000000003</v>
      </c>
      <c r="S14" s="81">
        <f t="shared" si="3"/>
        <v>4.0949999999999998</v>
      </c>
      <c r="T14" s="80">
        <f t="shared" si="4"/>
        <v>65.718926910000008</v>
      </c>
      <c r="U14" s="82">
        <f t="shared" si="5"/>
        <v>3.64</v>
      </c>
      <c r="V14" s="83">
        <f t="shared" si="6"/>
        <v>58.416823920000013</v>
      </c>
    </row>
    <row r="15" spans="1:22" x14ac:dyDescent="0.15">
      <c r="A15" s="11"/>
      <c r="B15" s="178"/>
      <c r="C15" s="46" t="s">
        <v>134</v>
      </c>
      <c r="D15" s="41" t="s">
        <v>122</v>
      </c>
      <c r="E15" s="47">
        <v>4.55</v>
      </c>
      <c r="F15" s="47">
        <v>2.73</v>
      </c>
      <c r="G15" s="47">
        <v>0</v>
      </c>
      <c r="H15" s="47">
        <v>0</v>
      </c>
      <c r="I15" s="48">
        <f t="shared" si="7"/>
        <v>3.3544999999999998</v>
      </c>
      <c r="J15" s="49">
        <f t="shared" si="0"/>
        <v>12.4215</v>
      </c>
      <c r="K15" s="49">
        <f t="shared" si="1"/>
        <v>41.667921749999998</v>
      </c>
      <c r="L15" s="46"/>
      <c r="M15" s="39"/>
      <c r="N15" s="40"/>
      <c r="O15" s="182"/>
      <c r="P15" s="79" t="str">
        <f t="shared" si="2"/>
        <v>エ</v>
      </c>
      <c r="Q15" s="129">
        <f t="shared" si="8"/>
        <v>3.23</v>
      </c>
      <c r="R15" s="132">
        <f t="shared" si="9"/>
        <v>40.121445000000001</v>
      </c>
      <c r="S15" s="81">
        <f t="shared" si="3"/>
        <v>1.365</v>
      </c>
      <c r="T15" s="80">
        <f t="shared" si="4"/>
        <v>54.765772425000002</v>
      </c>
      <c r="U15" s="82">
        <f t="shared" si="5"/>
        <v>2.2749999999999999</v>
      </c>
      <c r="V15" s="83">
        <f t="shared" si="6"/>
        <v>91.276287374999995</v>
      </c>
    </row>
    <row r="16" spans="1:22" x14ac:dyDescent="0.15">
      <c r="A16" s="11"/>
      <c r="B16" s="178"/>
      <c r="C16" s="46" t="s">
        <v>135</v>
      </c>
      <c r="D16" s="41" t="s">
        <v>126</v>
      </c>
      <c r="E16" s="47">
        <v>2.73</v>
      </c>
      <c r="F16" s="47">
        <v>2.73</v>
      </c>
      <c r="G16" s="47">
        <v>2.73</v>
      </c>
      <c r="H16" s="47">
        <v>0</v>
      </c>
      <c r="I16" s="48">
        <f t="shared" si="7"/>
        <v>3.3544999999999998</v>
      </c>
      <c r="J16" s="49">
        <f t="shared" si="0"/>
        <v>7.4528999999999996</v>
      </c>
      <c r="K16" s="49">
        <f t="shared" si="1"/>
        <v>25.000753049999997</v>
      </c>
      <c r="L16" s="46"/>
      <c r="M16" s="39"/>
      <c r="N16" s="40"/>
      <c r="O16" s="182"/>
      <c r="P16" s="79" t="str">
        <f t="shared" si="2"/>
        <v>カ</v>
      </c>
      <c r="Q16" s="129">
        <f t="shared" si="8"/>
        <v>3.23</v>
      </c>
      <c r="R16" s="132">
        <f t="shared" si="9"/>
        <v>24.072866999999999</v>
      </c>
      <c r="S16" s="81">
        <f t="shared" si="3"/>
        <v>4.0949999999999998</v>
      </c>
      <c r="T16" s="80">
        <f t="shared" si="4"/>
        <v>98.57839036499999</v>
      </c>
      <c r="U16" s="82">
        <f t="shared" si="5"/>
        <v>1.365</v>
      </c>
      <c r="V16" s="83">
        <f t="shared" si="6"/>
        <v>32.859463454999997</v>
      </c>
    </row>
    <row r="17" spans="1:22" x14ac:dyDescent="0.15">
      <c r="A17" s="11"/>
      <c r="B17" s="178"/>
      <c r="C17" s="46"/>
      <c r="D17" s="41"/>
      <c r="E17" s="47"/>
      <c r="F17" s="47"/>
      <c r="G17" s="47"/>
      <c r="H17" s="47"/>
      <c r="I17" s="48" t="str">
        <f t="shared" si="7"/>
        <v/>
      </c>
      <c r="J17" s="49" t="str">
        <f t="shared" si="0"/>
        <v/>
      </c>
      <c r="K17" s="49" t="str">
        <f t="shared" si="1"/>
        <v/>
      </c>
      <c r="L17" s="46"/>
      <c r="M17" s="39"/>
      <c r="N17" s="40"/>
      <c r="O17" s="182"/>
      <c r="P17" s="79" t="str">
        <f t="shared" si="2"/>
        <v/>
      </c>
      <c r="Q17" s="129" t="str">
        <f t="shared" si="8"/>
        <v/>
      </c>
      <c r="R17" s="132" t="str">
        <f t="shared" si="9"/>
        <v/>
      </c>
      <c r="S17" s="81" t="str">
        <f t="shared" si="3"/>
        <v/>
      </c>
      <c r="T17" s="80" t="str">
        <f t="shared" si="4"/>
        <v/>
      </c>
      <c r="U17" s="82" t="str">
        <f t="shared" si="5"/>
        <v/>
      </c>
      <c r="V17" s="83" t="str">
        <f t="shared" si="6"/>
        <v/>
      </c>
    </row>
    <row r="18" spans="1:22" x14ac:dyDescent="0.15">
      <c r="A18" s="11"/>
      <c r="B18" s="178"/>
      <c r="C18" s="46"/>
      <c r="D18" s="41"/>
      <c r="E18" s="47"/>
      <c r="F18" s="47"/>
      <c r="G18" s="47"/>
      <c r="H18" s="47"/>
      <c r="I18" s="48" t="str">
        <f t="shared" si="7"/>
        <v/>
      </c>
      <c r="J18" s="49" t="str">
        <f t="shared" si="0"/>
        <v/>
      </c>
      <c r="K18" s="49" t="str">
        <f t="shared" si="1"/>
        <v/>
      </c>
      <c r="L18" s="46"/>
      <c r="M18" s="39"/>
      <c r="N18" s="40"/>
      <c r="O18" s="182"/>
      <c r="P18" s="79" t="str">
        <f t="shared" si="2"/>
        <v/>
      </c>
      <c r="Q18" s="130" t="str">
        <f t="shared" si="8"/>
        <v/>
      </c>
      <c r="R18" s="133" t="str">
        <f t="shared" si="9"/>
        <v/>
      </c>
      <c r="S18" s="81" t="str">
        <f t="shared" si="3"/>
        <v/>
      </c>
      <c r="T18" s="80" t="str">
        <f t="shared" si="4"/>
        <v/>
      </c>
      <c r="U18" s="82" t="str">
        <f t="shared" si="5"/>
        <v/>
      </c>
      <c r="V18" s="83" t="str">
        <f t="shared" si="6"/>
        <v/>
      </c>
    </row>
    <row r="19" spans="1:22" x14ac:dyDescent="0.15">
      <c r="A19" s="11"/>
      <c r="B19" s="178"/>
      <c r="C19" s="184" t="s">
        <v>94</v>
      </c>
      <c r="D19" s="185"/>
      <c r="E19" s="186"/>
      <c r="F19" s="186"/>
      <c r="G19" s="186"/>
      <c r="H19" s="186"/>
      <c r="I19" s="186"/>
      <c r="J19" s="50">
        <f>SUM(J13:J18)</f>
        <v>62.107500000000002</v>
      </c>
      <c r="K19" s="50">
        <f>SUM(K13:K18)</f>
        <v>208.33960874999997</v>
      </c>
      <c r="L19" s="51"/>
      <c r="M19" s="39"/>
      <c r="N19" s="40"/>
      <c r="O19" s="182"/>
      <c r="P19" s="189" t="s">
        <v>95</v>
      </c>
      <c r="Q19" s="190"/>
      <c r="R19" s="134">
        <f>SUM(R13:R18)</f>
        <v>200.607225</v>
      </c>
      <c r="S19" s="84"/>
      <c r="T19" s="75">
        <f>SUM(T13:T18)</f>
        <v>1150.0812209249998</v>
      </c>
      <c r="U19" s="85">
        <f t="shared" si="5"/>
        <v>0</v>
      </c>
      <c r="V19" s="78">
        <f>SUM(V13:V18)</f>
        <v>675.44452657500005</v>
      </c>
    </row>
    <row r="20" spans="1:22" x14ac:dyDescent="0.15">
      <c r="A20" s="11"/>
      <c r="B20" s="177" t="s">
        <v>96</v>
      </c>
      <c r="C20" s="95" t="str">
        <f t="shared" ref="C20:H25" si="10">IF(C13&lt;&gt;"",C13,"")</f>
        <v>ア</v>
      </c>
      <c r="D20" s="96" t="str">
        <f t="shared" si="10"/>
        <v>既存一般</v>
      </c>
      <c r="E20" s="97">
        <f t="shared" si="10"/>
        <v>8.19</v>
      </c>
      <c r="F20" s="97">
        <f t="shared" si="10"/>
        <v>4.55</v>
      </c>
      <c r="G20" s="97">
        <f t="shared" si="10"/>
        <v>5.46</v>
      </c>
      <c r="H20" s="97">
        <f t="shared" si="10"/>
        <v>0</v>
      </c>
      <c r="I20" s="98">
        <f>IF(D20=F$4,K$4,IF(D20=F$5,K$5,IF(D20=F$6,K$6,IF(D20=F$7,K$7,IF(D20=F$8,K$8,"")))))</f>
        <v>2.9744999999999999</v>
      </c>
      <c r="J20" s="97">
        <f t="shared" ref="J20:J25" si="11">IF(E20&lt;&gt;"",E20*F20,"")</f>
        <v>37.264499999999998</v>
      </c>
      <c r="K20" s="99">
        <f t="shared" ref="K20:K35" si="12">IF(E20&lt;&gt;"",E20*F20*I20,"")</f>
        <v>110.84325525</v>
      </c>
      <c r="L20" s="179" t="s">
        <v>97</v>
      </c>
      <c r="M20" s="39"/>
      <c r="N20" s="40"/>
      <c r="O20" s="181" t="s">
        <v>96</v>
      </c>
      <c r="P20" s="74" t="str">
        <f t="shared" ref="P20:P35" si="13">IF(C20&lt;&gt;"",C20,"")</f>
        <v>ア</v>
      </c>
      <c r="Q20" s="74">
        <f>IF(D20=F$4,H$4,IF(D20=F$5,H$5,IF(D20=F$6,H$6,IF(D20=F$7,H$7,IF(D20=F$8,H$8,"")))))</f>
        <v>2.85</v>
      </c>
      <c r="R20" s="75">
        <f t="shared" ref="R20:R25" si="14">IF(J20&lt;&gt;"",J20*Q20,"")</f>
        <v>106.20382499999999</v>
      </c>
      <c r="S20" s="76">
        <f t="shared" ref="S20:S25" si="15">IF(S13&lt;&gt;"",S13,"")</f>
        <v>7.7349999999999994</v>
      </c>
      <c r="T20" s="75">
        <f t="shared" ref="T20:T35" si="16">IF(R20&lt;&gt;"",R20*S20,"")</f>
        <v>821.48658637499989</v>
      </c>
      <c r="U20" s="77">
        <f t="shared" ref="U20:U25" si="17">IF(U13&lt;&gt;"",U13,"")</f>
        <v>4.0949999999999998</v>
      </c>
      <c r="V20" s="78">
        <f t="shared" ref="V20:V35" si="18">IF(R20&lt;&gt;"",R20*U20,"")</f>
        <v>434.90466337499993</v>
      </c>
    </row>
    <row r="21" spans="1:22" x14ac:dyDescent="0.15">
      <c r="A21" s="11"/>
      <c r="B21" s="178"/>
      <c r="C21" s="100" t="str">
        <f t="shared" si="10"/>
        <v>ウ</v>
      </c>
      <c r="D21" s="101" t="str">
        <f t="shared" si="10"/>
        <v>既存一般</v>
      </c>
      <c r="E21" s="102">
        <f t="shared" si="10"/>
        <v>1.82</v>
      </c>
      <c r="F21" s="102">
        <f t="shared" si="10"/>
        <v>2.73</v>
      </c>
      <c r="G21" s="102">
        <f t="shared" si="10"/>
        <v>2.73</v>
      </c>
      <c r="H21" s="102">
        <f t="shared" si="10"/>
        <v>2.73</v>
      </c>
      <c r="I21" s="103">
        <f t="shared" ref="I21:I25" si="19">IF(D21=F$4,K$4,IF(D21=F$5,K$5,IF(D21=F$6,K$6,IF(D21=F$7,K$7,IF(D21=F$8,K$8,"")))))</f>
        <v>2.9744999999999999</v>
      </c>
      <c r="J21" s="102">
        <f t="shared" si="11"/>
        <v>4.9686000000000003</v>
      </c>
      <c r="K21" s="104">
        <f t="shared" si="12"/>
        <v>14.779100700000001</v>
      </c>
      <c r="L21" s="180"/>
      <c r="M21" s="39"/>
      <c r="N21" s="40"/>
      <c r="O21" s="182"/>
      <c r="P21" s="79" t="str">
        <f t="shared" si="13"/>
        <v>ウ</v>
      </c>
      <c r="Q21" s="79">
        <f t="shared" ref="Q21:Q25" si="20">IF(D21=F$4,H$4,IF(D21=F$5,H$5,IF(D21=F$6,H$6,IF(D21=F$7,H$7,IF(D21=F$8,H$8,"")))))</f>
        <v>2.85</v>
      </c>
      <c r="R21" s="80">
        <f t="shared" si="14"/>
        <v>14.160510000000002</v>
      </c>
      <c r="S21" s="81">
        <f t="shared" si="15"/>
        <v>4.0949999999999998</v>
      </c>
      <c r="T21" s="80">
        <f t="shared" si="16"/>
        <v>57.987288450000008</v>
      </c>
      <c r="U21" s="82">
        <f t="shared" si="17"/>
        <v>3.64</v>
      </c>
      <c r="V21" s="83">
        <f t="shared" si="18"/>
        <v>51.544256400000009</v>
      </c>
    </row>
    <row r="22" spans="1:22" x14ac:dyDescent="0.15">
      <c r="A22" s="11"/>
      <c r="B22" s="178"/>
      <c r="C22" s="100" t="str">
        <f t="shared" si="10"/>
        <v>エ</v>
      </c>
      <c r="D22" s="101" t="str">
        <f t="shared" si="10"/>
        <v>既存一般</v>
      </c>
      <c r="E22" s="102">
        <f t="shared" si="10"/>
        <v>4.55</v>
      </c>
      <c r="F22" s="102">
        <f t="shared" si="10"/>
        <v>2.73</v>
      </c>
      <c r="G22" s="102">
        <f t="shared" si="10"/>
        <v>0</v>
      </c>
      <c r="H22" s="102">
        <f t="shared" si="10"/>
        <v>0</v>
      </c>
      <c r="I22" s="103">
        <f t="shared" si="19"/>
        <v>2.9744999999999999</v>
      </c>
      <c r="J22" s="102">
        <f t="shared" si="11"/>
        <v>12.4215</v>
      </c>
      <c r="K22" s="104">
        <f t="shared" si="12"/>
        <v>36.947751750000002</v>
      </c>
      <c r="L22" s="180"/>
      <c r="M22" s="39"/>
      <c r="N22" s="40"/>
      <c r="O22" s="182"/>
      <c r="P22" s="79" t="str">
        <f t="shared" si="13"/>
        <v>エ</v>
      </c>
      <c r="Q22" s="79">
        <f t="shared" si="20"/>
        <v>2.85</v>
      </c>
      <c r="R22" s="80">
        <f t="shared" si="14"/>
        <v>35.401274999999998</v>
      </c>
      <c r="S22" s="81">
        <f t="shared" si="15"/>
        <v>1.365</v>
      </c>
      <c r="T22" s="80">
        <f t="shared" si="16"/>
        <v>48.322740374999995</v>
      </c>
      <c r="U22" s="82">
        <f t="shared" si="17"/>
        <v>2.2749999999999999</v>
      </c>
      <c r="V22" s="83">
        <f t="shared" si="18"/>
        <v>80.537900624999992</v>
      </c>
    </row>
    <row r="23" spans="1:22" x14ac:dyDescent="0.15">
      <c r="A23" s="11"/>
      <c r="B23" s="178"/>
      <c r="C23" s="100" t="str">
        <f t="shared" si="10"/>
        <v>カ</v>
      </c>
      <c r="D23" s="101" t="str">
        <f t="shared" si="10"/>
        <v>既存吹抜</v>
      </c>
      <c r="E23" s="102">
        <f t="shared" si="10"/>
        <v>2.73</v>
      </c>
      <c r="F23" s="102">
        <f t="shared" si="10"/>
        <v>2.73</v>
      </c>
      <c r="G23" s="102">
        <f t="shared" si="10"/>
        <v>2.73</v>
      </c>
      <c r="H23" s="102">
        <f t="shared" si="10"/>
        <v>0</v>
      </c>
      <c r="I23" s="103">
        <f t="shared" si="19"/>
        <v>1.7744999999999997</v>
      </c>
      <c r="J23" s="102">
        <f t="shared" si="11"/>
        <v>7.4528999999999996</v>
      </c>
      <c r="K23" s="104">
        <f t="shared" si="12"/>
        <v>13.225171049999997</v>
      </c>
      <c r="L23" s="180"/>
      <c r="M23" s="39"/>
      <c r="N23" s="40"/>
      <c r="O23" s="182"/>
      <c r="P23" s="79" t="str">
        <f t="shared" si="13"/>
        <v>カ</v>
      </c>
      <c r="Q23" s="79">
        <f t="shared" si="20"/>
        <v>1.65</v>
      </c>
      <c r="R23" s="80">
        <f t="shared" si="14"/>
        <v>12.297284999999999</v>
      </c>
      <c r="S23" s="81">
        <f t="shared" si="15"/>
        <v>4.0949999999999998</v>
      </c>
      <c r="T23" s="80">
        <f t="shared" si="16"/>
        <v>50.35738207499999</v>
      </c>
      <c r="U23" s="82">
        <f t="shared" si="17"/>
        <v>1.365</v>
      </c>
      <c r="V23" s="83">
        <f t="shared" si="18"/>
        <v>16.785794024999998</v>
      </c>
    </row>
    <row r="24" spans="1:22" x14ac:dyDescent="0.15">
      <c r="A24" s="11"/>
      <c r="B24" s="178"/>
      <c r="C24" s="100" t="str">
        <f t="shared" si="10"/>
        <v/>
      </c>
      <c r="D24" s="101" t="str">
        <f t="shared" si="10"/>
        <v/>
      </c>
      <c r="E24" s="102" t="str">
        <f t="shared" si="10"/>
        <v/>
      </c>
      <c r="F24" s="102" t="str">
        <f t="shared" si="10"/>
        <v/>
      </c>
      <c r="G24" s="102" t="str">
        <f t="shared" si="10"/>
        <v/>
      </c>
      <c r="H24" s="102" t="str">
        <f t="shared" si="10"/>
        <v/>
      </c>
      <c r="I24" s="103" t="str">
        <f t="shared" si="19"/>
        <v/>
      </c>
      <c r="J24" s="102" t="str">
        <f t="shared" si="11"/>
        <v/>
      </c>
      <c r="K24" s="104" t="str">
        <f t="shared" si="12"/>
        <v/>
      </c>
      <c r="L24" s="180"/>
      <c r="M24" s="39"/>
      <c r="N24" s="40"/>
      <c r="O24" s="182"/>
      <c r="P24" s="79" t="str">
        <f t="shared" si="13"/>
        <v/>
      </c>
      <c r="Q24" s="79" t="str">
        <f t="shared" si="20"/>
        <v/>
      </c>
      <c r="R24" s="80" t="str">
        <f t="shared" si="14"/>
        <v/>
      </c>
      <c r="S24" s="81" t="str">
        <f t="shared" si="15"/>
        <v/>
      </c>
      <c r="T24" s="80" t="str">
        <f t="shared" si="16"/>
        <v/>
      </c>
      <c r="U24" s="82" t="str">
        <f t="shared" si="17"/>
        <v/>
      </c>
      <c r="V24" s="83" t="str">
        <f t="shared" si="18"/>
        <v/>
      </c>
    </row>
    <row r="25" spans="1:22" x14ac:dyDescent="0.15">
      <c r="A25" s="11"/>
      <c r="B25" s="178"/>
      <c r="C25" s="100" t="str">
        <f t="shared" si="10"/>
        <v/>
      </c>
      <c r="D25" s="101" t="str">
        <f t="shared" si="10"/>
        <v/>
      </c>
      <c r="E25" s="102" t="str">
        <f t="shared" si="10"/>
        <v/>
      </c>
      <c r="F25" s="102" t="str">
        <f t="shared" si="10"/>
        <v/>
      </c>
      <c r="G25" s="102" t="str">
        <f t="shared" si="10"/>
        <v/>
      </c>
      <c r="H25" s="102" t="str">
        <f t="shared" si="10"/>
        <v/>
      </c>
      <c r="I25" s="103" t="str">
        <f t="shared" si="19"/>
        <v/>
      </c>
      <c r="J25" s="102" t="str">
        <f t="shared" si="11"/>
        <v/>
      </c>
      <c r="K25" s="104" t="str">
        <f t="shared" si="12"/>
        <v/>
      </c>
      <c r="L25" s="180"/>
      <c r="M25" s="39"/>
      <c r="N25" s="40"/>
      <c r="O25" s="182"/>
      <c r="P25" s="79" t="str">
        <f t="shared" si="13"/>
        <v/>
      </c>
      <c r="Q25" s="79" t="str">
        <f t="shared" si="20"/>
        <v/>
      </c>
      <c r="R25" s="80" t="str">
        <f t="shared" si="14"/>
        <v/>
      </c>
      <c r="S25" s="81" t="str">
        <f t="shared" si="15"/>
        <v/>
      </c>
      <c r="T25" s="80" t="str">
        <f t="shared" si="16"/>
        <v/>
      </c>
      <c r="U25" s="82" t="str">
        <f t="shared" si="17"/>
        <v/>
      </c>
      <c r="V25" s="83" t="str">
        <f t="shared" si="18"/>
        <v/>
      </c>
    </row>
    <row r="26" spans="1:22" x14ac:dyDescent="0.15">
      <c r="A26" s="11"/>
      <c r="B26" s="178"/>
      <c r="C26" s="105" t="s">
        <v>136</v>
      </c>
      <c r="D26" s="106" t="s">
        <v>122</v>
      </c>
      <c r="E26" s="107">
        <v>8.19</v>
      </c>
      <c r="F26" s="107">
        <v>0.91</v>
      </c>
      <c r="G26" s="107">
        <v>10.01</v>
      </c>
      <c r="H26" s="107">
        <v>0</v>
      </c>
      <c r="I26" s="103">
        <f>IF(D26=F$4,I$4,IF(D26=F$5,I$5,IF(D26=F$6,I$6,IF(D26=F$7,I$7,IF(D26=F$8,I$8,"")))))</f>
        <v>3.23</v>
      </c>
      <c r="J26" s="102">
        <f t="shared" ref="J26:J35" si="21">IF(E26&lt;&gt;0,E26*F26,"")</f>
        <v>7.4528999999999996</v>
      </c>
      <c r="K26" s="104">
        <f t="shared" si="12"/>
        <v>24.072866999999999</v>
      </c>
      <c r="L26" s="180" t="s">
        <v>98</v>
      </c>
      <c r="M26" s="39"/>
      <c r="N26" s="40"/>
      <c r="O26" s="182"/>
      <c r="P26" s="79" t="str">
        <f t="shared" si="13"/>
        <v>イ</v>
      </c>
      <c r="Q26" s="137">
        <f>I26</f>
        <v>3.23</v>
      </c>
      <c r="R26" s="80">
        <f t="shared" ref="R26:R35" si="22">IF(K26&lt;&gt;"",K26,"")</f>
        <v>24.072866999999999</v>
      </c>
      <c r="S26" s="81">
        <f t="shared" ref="S26:S35" si="23">IF(R26&lt;&gt;"",G26+F26/2,"")</f>
        <v>10.465</v>
      </c>
      <c r="T26" s="80">
        <f t="shared" si="16"/>
        <v>251.92255315499997</v>
      </c>
      <c r="U26" s="82">
        <f t="shared" ref="U26:U35" si="24">IF(R26&lt;&gt;"",H26+E26/2,"")</f>
        <v>4.0949999999999998</v>
      </c>
      <c r="V26" s="83">
        <f t="shared" si="18"/>
        <v>98.57839036499999</v>
      </c>
    </row>
    <row r="27" spans="1:22" x14ac:dyDescent="0.15">
      <c r="A27" s="11"/>
      <c r="B27" s="178"/>
      <c r="C27" s="105" t="s">
        <v>137</v>
      </c>
      <c r="D27" s="106" t="s">
        <v>124</v>
      </c>
      <c r="E27" s="107">
        <v>3.64</v>
      </c>
      <c r="F27" s="107">
        <v>4.55</v>
      </c>
      <c r="G27" s="107">
        <v>5.46</v>
      </c>
      <c r="H27" s="107">
        <v>8.19</v>
      </c>
      <c r="I27" s="103">
        <f t="shared" ref="I27:I35" si="25">IF(D27=F$4,I$4,IF(D27=F$5,I$5,IF(D27=F$6,I$6,IF(D27=F$7,I$7,IF(D27=F$8,I$8,"")))))</f>
        <v>4.2320000000000002</v>
      </c>
      <c r="J27" s="102">
        <f t="shared" si="21"/>
        <v>16.562000000000001</v>
      </c>
      <c r="K27" s="104">
        <f t="shared" si="12"/>
        <v>70.090384000000014</v>
      </c>
      <c r="L27" s="180"/>
      <c r="M27" s="39"/>
      <c r="N27" s="40"/>
      <c r="O27" s="182"/>
      <c r="P27" s="79" t="str">
        <f t="shared" si="13"/>
        <v>オ</v>
      </c>
      <c r="Q27" s="137">
        <f t="shared" ref="Q27:Q35" si="26">I27</f>
        <v>4.2320000000000002</v>
      </c>
      <c r="R27" s="80">
        <f t="shared" si="22"/>
        <v>70.090384000000014</v>
      </c>
      <c r="S27" s="81">
        <f t="shared" si="23"/>
        <v>7.7349999999999994</v>
      </c>
      <c r="T27" s="80">
        <f t="shared" si="16"/>
        <v>542.14912024000012</v>
      </c>
      <c r="U27" s="82">
        <f t="shared" si="24"/>
        <v>10.01</v>
      </c>
      <c r="V27" s="83">
        <f t="shared" si="18"/>
        <v>701.60474384000008</v>
      </c>
    </row>
    <row r="28" spans="1:22" x14ac:dyDescent="0.15">
      <c r="A28" s="11"/>
      <c r="B28" s="178"/>
      <c r="C28" s="105" t="s">
        <v>138</v>
      </c>
      <c r="D28" s="106" t="s">
        <v>128</v>
      </c>
      <c r="E28" s="107">
        <v>4.55</v>
      </c>
      <c r="F28" s="107">
        <v>6.37</v>
      </c>
      <c r="G28" s="107">
        <v>-0.91</v>
      </c>
      <c r="H28" s="107">
        <v>8.19</v>
      </c>
      <c r="I28" s="103">
        <f t="shared" si="25"/>
        <v>1.7800000000000002</v>
      </c>
      <c r="J28" s="102">
        <f t="shared" si="21"/>
        <v>28.983499999999999</v>
      </c>
      <c r="K28" s="104">
        <f t="shared" si="12"/>
        <v>51.590630000000004</v>
      </c>
      <c r="L28" s="180"/>
      <c r="M28" s="39"/>
      <c r="N28" s="40"/>
      <c r="O28" s="182"/>
      <c r="P28" s="79" t="str">
        <f t="shared" si="13"/>
        <v>ク</v>
      </c>
      <c r="Q28" s="137">
        <f t="shared" si="26"/>
        <v>1.7800000000000002</v>
      </c>
      <c r="R28" s="80">
        <f t="shared" si="22"/>
        <v>51.590630000000004</v>
      </c>
      <c r="S28" s="81">
        <f t="shared" si="23"/>
        <v>2.2749999999999999</v>
      </c>
      <c r="T28" s="80">
        <f t="shared" si="16"/>
        <v>117.36868325</v>
      </c>
      <c r="U28" s="82">
        <f t="shared" si="24"/>
        <v>10.465</v>
      </c>
      <c r="V28" s="83">
        <f t="shared" si="18"/>
        <v>539.89594295000006</v>
      </c>
    </row>
    <row r="29" spans="1:22" x14ac:dyDescent="0.15">
      <c r="A29" s="11"/>
      <c r="B29" s="178"/>
      <c r="C29" s="105" t="s">
        <v>139</v>
      </c>
      <c r="D29" s="106" t="s">
        <v>128</v>
      </c>
      <c r="E29" s="107">
        <v>3.64</v>
      </c>
      <c r="F29" s="107">
        <v>2.73</v>
      </c>
      <c r="G29" s="107">
        <v>0</v>
      </c>
      <c r="H29" s="107">
        <v>4.55</v>
      </c>
      <c r="I29" s="103">
        <f t="shared" si="25"/>
        <v>1.7800000000000002</v>
      </c>
      <c r="J29" s="102">
        <f t="shared" si="21"/>
        <v>9.9372000000000007</v>
      </c>
      <c r="K29" s="104">
        <f t="shared" si="12"/>
        <v>17.688216000000004</v>
      </c>
      <c r="L29" s="180"/>
      <c r="M29" s="39"/>
      <c r="N29" s="40"/>
      <c r="O29" s="182"/>
      <c r="P29" s="79" t="str">
        <f t="shared" si="13"/>
        <v>キ</v>
      </c>
      <c r="Q29" s="137">
        <f t="shared" si="26"/>
        <v>1.7800000000000002</v>
      </c>
      <c r="R29" s="80">
        <f t="shared" si="22"/>
        <v>17.688216000000004</v>
      </c>
      <c r="S29" s="81">
        <f t="shared" si="23"/>
        <v>1.365</v>
      </c>
      <c r="T29" s="80">
        <f t="shared" si="16"/>
        <v>24.144414840000007</v>
      </c>
      <c r="U29" s="82">
        <f t="shared" si="24"/>
        <v>6.37</v>
      </c>
      <c r="V29" s="83">
        <f t="shared" si="18"/>
        <v>112.67393592000003</v>
      </c>
    </row>
    <row r="30" spans="1:22" x14ac:dyDescent="0.15">
      <c r="A30" s="11"/>
      <c r="B30" s="178"/>
      <c r="C30" s="105" t="s">
        <v>140</v>
      </c>
      <c r="D30" s="106" t="s">
        <v>130</v>
      </c>
      <c r="E30" s="107">
        <v>3.64</v>
      </c>
      <c r="F30" s="107">
        <v>2.73</v>
      </c>
      <c r="G30" s="107">
        <v>2.73</v>
      </c>
      <c r="H30" s="107">
        <v>4.55</v>
      </c>
      <c r="I30" s="103">
        <f t="shared" si="25"/>
        <v>0</v>
      </c>
      <c r="J30" s="102">
        <f t="shared" si="21"/>
        <v>9.9372000000000007</v>
      </c>
      <c r="K30" s="104">
        <f t="shared" si="12"/>
        <v>0</v>
      </c>
      <c r="L30" s="180"/>
      <c r="M30" s="39"/>
      <c r="N30" s="40"/>
      <c r="O30" s="182"/>
      <c r="P30" s="79" t="str">
        <f t="shared" si="13"/>
        <v>ケ</v>
      </c>
      <c r="Q30" s="137">
        <f t="shared" si="26"/>
        <v>0</v>
      </c>
      <c r="R30" s="80">
        <f t="shared" si="22"/>
        <v>0</v>
      </c>
      <c r="S30" s="81">
        <f t="shared" si="23"/>
        <v>4.0949999999999998</v>
      </c>
      <c r="T30" s="80">
        <f t="shared" si="16"/>
        <v>0</v>
      </c>
      <c r="U30" s="82">
        <f t="shared" si="24"/>
        <v>6.37</v>
      </c>
      <c r="V30" s="83">
        <f t="shared" si="18"/>
        <v>0</v>
      </c>
    </row>
    <row r="31" spans="1:22" x14ac:dyDescent="0.15">
      <c r="A31" s="11"/>
      <c r="B31" s="178"/>
      <c r="C31" s="105"/>
      <c r="D31" s="106"/>
      <c r="E31" s="107"/>
      <c r="F31" s="107"/>
      <c r="G31" s="107"/>
      <c r="H31" s="107"/>
      <c r="I31" s="103" t="str">
        <f t="shared" si="25"/>
        <v/>
      </c>
      <c r="J31" s="102" t="str">
        <f t="shared" si="21"/>
        <v/>
      </c>
      <c r="K31" s="104" t="str">
        <f t="shared" si="12"/>
        <v/>
      </c>
      <c r="L31" s="180"/>
      <c r="M31" s="39"/>
      <c r="N31" s="40"/>
      <c r="O31" s="182"/>
      <c r="P31" s="79" t="str">
        <f t="shared" si="13"/>
        <v/>
      </c>
      <c r="Q31" s="137" t="str">
        <f t="shared" si="26"/>
        <v/>
      </c>
      <c r="R31" s="80" t="str">
        <f t="shared" si="22"/>
        <v/>
      </c>
      <c r="S31" s="81" t="str">
        <f t="shared" si="23"/>
        <v/>
      </c>
      <c r="T31" s="80" t="str">
        <f t="shared" si="16"/>
        <v/>
      </c>
      <c r="U31" s="82" t="str">
        <f t="shared" si="24"/>
        <v/>
      </c>
      <c r="V31" s="83" t="str">
        <f t="shared" si="18"/>
        <v/>
      </c>
    </row>
    <row r="32" spans="1:22" x14ac:dyDescent="0.15">
      <c r="A32" s="11"/>
      <c r="B32" s="178"/>
      <c r="C32" s="105"/>
      <c r="D32" s="106"/>
      <c r="E32" s="107"/>
      <c r="F32" s="107"/>
      <c r="G32" s="107"/>
      <c r="H32" s="107"/>
      <c r="I32" s="103" t="str">
        <f t="shared" si="25"/>
        <v/>
      </c>
      <c r="J32" s="102" t="str">
        <f t="shared" si="21"/>
        <v/>
      </c>
      <c r="K32" s="104" t="str">
        <f t="shared" si="12"/>
        <v/>
      </c>
      <c r="L32" s="180"/>
      <c r="M32" s="39"/>
      <c r="N32" s="40"/>
      <c r="O32" s="182"/>
      <c r="P32" s="79" t="str">
        <f t="shared" si="13"/>
        <v/>
      </c>
      <c r="Q32" s="137" t="str">
        <f t="shared" si="26"/>
        <v/>
      </c>
      <c r="R32" s="80" t="str">
        <f t="shared" si="22"/>
        <v/>
      </c>
      <c r="S32" s="81" t="str">
        <f t="shared" si="23"/>
        <v/>
      </c>
      <c r="T32" s="80" t="str">
        <f t="shared" si="16"/>
        <v/>
      </c>
      <c r="U32" s="82" t="str">
        <f t="shared" si="24"/>
        <v/>
      </c>
      <c r="V32" s="83" t="str">
        <f t="shared" si="18"/>
        <v/>
      </c>
    </row>
    <row r="33" spans="1:22" x14ac:dyDescent="0.15">
      <c r="A33" s="11"/>
      <c r="B33" s="178"/>
      <c r="C33" s="105"/>
      <c r="D33" s="106"/>
      <c r="E33" s="107"/>
      <c r="F33" s="107"/>
      <c r="G33" s="107"/>
      <c r="H33" s="107"/>
      <c r="I33" s="103" t="str">
        <f t="shared" si="25"/>
        <v/>
      </c>
      <c r="J33" s="102" t="str">
        <f t="shared" si="21"/>
        <v/>
      </c>
      <c r="K33" s="104" t="str">
        <f t="shared" si="12"/>
        <v/>
      </c>
      <c r="L33" s="180"/>
      <c r="M33" s="39"/>
      <c r="N33" s="40"/>
      <c r="O33" s="182"/>
      <c r="P33" s="79" t="str">
        <f t="shared" si="13"/>
        <v/>
      </c>
      <c r="Q33" s="137" t="str">
        <f t="shared" si="26"/>
        <v/>
      </c>
      <c r="R33" s="80" t="str">
        <f t="shared" si="22"/>
        <v/>
      </c>
      <c r="S33" s="81" t="str">
        <f t="shared" si="23"/>
        <v/>
      </c>
      <c r="T33" s="80" t="str">
        <f t="shared" si="16"/>
        <v/>
      </c>
      <c r="U33" s="82" t="str">
        <f t="shared" si="24"/>
        <v/>
      </c>
      <c r="V33" s="83" t="str">
        <f t="shared" si="18"/>
        <v/>
      </c>
    </row>
    <row r="34" spans="1:22" x14ac:dyDescent="0.15">
      <c r="A34" s="11"/>
      <c r="B34" s="178"/>
      <c r="C34" s="105"/>
      <c r="D34" s="106"/>
      <c r="E34" s="107"/>
      <c r="F34" s="107"/>
      <c r="G34" s="107"/>
      <c r="H34" s="107"/>
      <c r="I34" s="103" t="str">
        <f t="shared" si="25"/>
        <v/>
      </c>
      <c r="J34" s="102" t="str">
        <f t="shared" si="21"/>
        <v/>
      </c>
      <c r="K34" s="104" t="str">
        <f t="shared" si="12"/>
        <v/>
      </c>
      <c r="L34" s="180"/>
      <c r="M34" s="39"/>
      <c r="N34" s="40"/>
      <c r="O34" s="182"/>
      <c r="P34" s="79" t="str">
        <f t="shared" si="13"/>
        <v/>
      </c>
      <c r="Q34" s="137" t="str">
        <f t="shared" si="26"/>
        <v/>
      </c>
      <c r="R34" s="80" t="str">
        <f t="shared" si="22"/>
        <v/>
      </c>
      <c r="S34" s="81" t="str">
        <f t="shared" si="23"/>
        <v/>
      </c>
      <c r="T34" s="80" t="str">
        <f t="shared" si="16"/>
        <v/>
      </c>
      <c r="U34" s="82" t="str">
        <f t="shared" si="24"/>
        <v/>
      </c>
      <c r="V34" s="83" t="str">
        <f t="shared" si="18"/>
        <v/>
      </c>
    </row>
    <row r="35" spans="1:22" x14ac:dyDescent="0.15">
      <c r="A35" s="11"/>
      <c r="B35" s="178"/>
      <c r="C35" s="108"/>
      <c r="D35" s="109"/>
      <c r="E35" s="110"/>
      <c r="F35" s="110"/>
      <c r="G35" s="110"/>
      <c r="H35" s="110"/>
      <c r="I35" s="111" t="str">
        <f t="shared" si="25"/>
        <v/>
      </c>
      <c r="J35" s="112" t="str">
        <f t="shared" si="21"/>
        <v/>
      </c>
      <c r="K35" s="113" t="str">
        <f t="shared" si="12"/>
        <v/>
      </c>
      <c r="L35" s="180"/>
      <c r="M35" s="39"/>
      <c r="N35" s="40"/>
      <c r="O35" s="182"/>
      <c r="P35" s="79" t="str">
        <f t="shared" si="13"/>
        <v/>
      </c>
      <c r="Q35" s="137" t="str">
        <f t="shared" si="26"/>
        <v/>
      </c>
      <c r="R35" s="80" t="str">
        <f t="shared" si="22"/>
        <v/>
      </c>
      <c r="S35" s="81" t="str">
        <f t="shared" si="23"/>
        <v/>
      </c>
      <c r="T35" s="80" t="str">
        <f t="shared" si="16"/>
        <v/>
      </c>
      <c r="U35" s="82" t="str">
        <f t="shared" si="24"/>
        <v/>
      </c>
      <c r="V35" s="83" t="str">
        <f t="shared" si="18"/>
        <v/>
      </c>
    </row>
    <row r="36" spans="1:22" x14ac:dyDescent="0.15">
      <c r="A36" s="11"/>
      <c r="B36" s="178"/>
      <c r="C36" s="45"/>
      <c r="D36" s="45"/>
      <c r="E36" s="45"/>
      <c r="F36" s="45"/>
      <c r="G36" s="183" t="s">
        <v>99</v>
      </c>
      <c r="H36" s="183"/>
      <c r="I36" s="183"/>
      <c r="J36" s="52"/>
      <c r="K36" s="53">
        <f>K19</f>
        <v>208.33960874999997</v>
      </c>
      <c r="L36" s="45"/>
      <c r="M36" s="39"/>
      <c r="N36" s="40"/>
      <c r="O36" s="182"/>
      <c r="P36" s="191" t="s">
        <v>99</v>
      </c>
      <c r="Q36" s="192"/>
      <c r="R36" s="135">
        <f>R19</f>
        <v>200.607225</v>
      </c>
      <c r="S36" s="71" t="s">
        <v>100</v>
      </c>
      <c r="T36" s="80">
        <f>T19</f>
        <v>1150.0812209249998</v>
      </c>
      <c r="U36" s="72" t="s">
        <v>100</v>
      </c>
      <c r="V36" s="83">
        <f>V19</f>
        <v>675.44452657500005</v>
      </c>
    </row>
    <row r="37" spans="1:22" x14ac:dyDescent="0.15">
      <c r="A37" s="11"/>
      <c r="B37" s="178"/>
      <c r="C37" s="184" t="s">
        <v>94</v>
      </c>
      <c r="D37" s="185"/>
      <c r="E37" s="186"/>
      <c r="F37" s="186"/>
      <c r="G37" s="186"/>
      <c r="H37" s="186"/>
      <c r="I37" s="186"/>
      <c r="J37" s="50">
        <f>SUM(J20:J36)</f>
        <v>134.9803</v>
      </c>
      <c r="K37" s="50">
        <f>SUM(K20:K36)</f>
        <v>547.57698449999998</v>
      </c>
      <c r="L37" s="51"/>
      <c r="M37" s="39"/>
      <c r="N37" s="40"/>
      <c r="O37" s="182"/>
      <c r="P37" s="189" t="s">
        <v>95</v>
      </c>
      <c r="Q37" s="190"/>
      <c r="R37" s="136">
        <f>SUM(R20:R36)</f>
        <v>532.11221699999999</v>
      </c>
      <c r="S37" s="86" t="s">
        <v>100</v>
      </c>
      <c r="T37" s="75">
        <f>SUM(T20:T36)</f>
        <v>3063.8199896850001</v>
      </c>
      <c r="U37" s="87" t="s">
        <v>100</v>
      </c>
      <c r="V37" s="88">
        <f>SUM(V20:V36)</f>
        <v>2711.9701540750002</v>
      </c>
    </row>
    <row r="38" spans="1:22" ht="20.100000000000001" customHeight="1" x14ac:dyDescent="0.15">
      <c r="A38" s="1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12"/>
      <c r="N38" s="12"/>
      <c r="O38" s="89"/>
      <c r="P38" s="89"/>
      <c r="Q38" s="89"/>
      <c r="R38" s="89"/>
      <c r="S38" s="89"/>
      <c r="T38" s="89"/>
      <c r="U38" s="63"/>
      <c r="V38" s="63"/>
    </row>
    <row r="39" spans="1:22" ht="20.100000000000001" customHeight="1" x14ac:dyDescent="0.15">
      <c r="A39" s="11"/>
      <c r="B39" s="12"/>
      <c r="C39" s="12"/>
      <c r="D39" s="11"/>
      <c r="E39" s="11"/>
      <c r="F39" s="11"/>
      <c r="G39" s="11"/>
      <c r="H39" s="11"/>
      <c r="I39" s="11"/>
      <c r="J39" s="11"/>
      <c r="K39" s="11"/>
      <c r="L39" s="12"/>
      <c r="M39" s="12"/>
      <c r="N39" s="12"/>
      <c r="O39" s="63"/>
      <c r="Q39" s="68" t="s">
        <v>32</v>
      </c>
      <c r="R39" s="66" t="s">
        <v>101</v>
      </c>
      <c r="S39" s="66" t="s">
        <v>102</v>
      </c>
      <c r="T39" s="66" t="s">
        <v>103</v>
      </c>
      <c r="U39" s="69" t="s">
        <v>158</v>
      </c>
      <c r="V39" s="63"/>
    </row>
    <row r="40" spans="1:22" ht="20.100000000000001" customHeight="1" x14ac:dyDescent="0.15">
      <c r="A40" s="11"/>
      <c r="B40" s="43" t="s">
        <v>104</v>
      </c>
      <c r="C40" s="12"/>
      <c r="D40" s="11"/>
      <c r="E40" s="11"/>
      <c r="F40" s="11"/>
      <c r="G40" s="11"/>
      <c r="H40" s="11"/>
      <c r="I40" s="11"/>
      <c r="J40" s="11"/>
      <c r="K40" s="11"/>
      <c r="L40" s="12"/>
      <c r="M40" s="12"/>
      <c r="N40" s="12"/>
      <c r="O40" s="63"/>
      <c r="Q40" s="173" t="s">
        <v>93</v>
      </c>
      <c r="R40" s="70" t="s">
        <v>81</v>
      </c>
      <c r="S40" s="90">
        <f>T19</f>
        <v>1150.0812209249998</v>
      </c>
      <c r="T40" s="90">
        <f>R19</f>
        <v>200.607225</v>
      </c>
      <c r="U40" s="91">
        <f>S40/T40</f>
        <v>5.7329999999999988</v>
      </c>
      <c r="V40" s="63" t="s">
        <v>159</v>
      </c>
    </row>
    <row r="41" spans="1:22" ht="20.100000000000001" customHeight="1" x14ac:dyDescent="0.15">
      <c r="A41" s="11"/>
      <c r="B41" s="12"/>
      <c r="C41" s="12"/>
      <c r="D41" s="171" t="s">
        <v>105</v>
      </c>
      <c r="E41" s="171"/>
      <c r="F41" s="59">
        <v>7.7</v>
      </c>
      <c r="G41" s="174" t="s">
        <v>106</v>
      </c>
      <c r="H41" s="175">
        <f>(F41+F42)/2</f>
        <v>7</v>
      </c>
      <c r="I41" s="171" t="s">
        <v>107</v>
      </c>
      <c r="J41" s="171"/>
      <c r="K41" s="62">
        <f>0.03*H41</f>
        <v>0.21</v>
      </c>
      <c r="L41" s="12"/>
      <c r="M41" s="12"/>
      <c r="N41" s="12"/>
      <c r="O41" s="63"/>
      <c r="Q41" s="173"/>
      <c r="R41" s="70" t="s">
        <v>82</v>
      </c>
      <c r="S41" s="90">
        <f>V19</f>
        <v>675.44452657500005</v>
      </c>
      <c r="T41" s="90">
        <f>T40</f>
        <v>200.607225</v>
      </c>
      <c r="U41" s="91">
        <f>S41/T41</f>
        <v>3.3670000000000004</v>
      </c>
      <c r="V41" s="63" t="s">
        <v>160</v>
      </c>
    </row>
    <row r="42" spans="1:22" ht="20.100000000000001" customHeight="1" x14ac:dyDescent="0.15">
      <c r="A42" s="11"/>
      <c r="B42" s="12"/>
      <c r="C42" s="12"/>
      <c r="D42" s="171" t="s">
        <v>108</v>
      </c>
      <c r="E42" s="171"/>
      <c r="F42" s="59">
        <v>6.3</v>
      </c>
      <c r="G42" s="171"/>
      <c r="H42" s="175"/>
      <c r="I42" s="171" t="s">
        <v>109</v>
      </c>
      <c r="J42" s="171"/>
      <c r="K42" s="62">
        <f>2*K41/(1+3*K41)</f>
        <v>0.25766871165644173</v>
      </c>
      <c r="L42" s="12"/>
      <c r="M42" s="12"/>
      <c r="N42" s="12"/>
      <c r="O42" s="63"/>
      <c r="Q42" s="173" t="s">
        <v>96</v>
      </c>
      <c r="R42" s="70" t="s">
        <v>81</v>
      </c>
      <c r="S42" s="90">
        <f>T37</f>
        <v>3063.8199896850001</v>
      </c>
      <c r="T42" s="90">
        <f>R37</f>
        <v>532.11221699999999</v>
      </c>
      <c r="U42" s="91">
        <f>S42/T42</f>
        <v>5.757845604369952</v>
      </c>
      <c r="V42" s="63" t="s">
        <v>161</v>
      </c>
    </row>
    <row r="43" spans="1:22" ht="20.100000000000001" customHeight="1" x14ac:dyDescent="0.15">
      <c r="A43" s="11"/>
      <c r="B43" s="12"/>
      <c r="C43" s="12"/>
      <c r="D43" s="63"/>
      <c r="E43" s="63"/>
      <c r="F43" s="64"/>
      <c r="G43" s="64"/>
      <c r="H43" s="64"/>
      <c r="I43" s="63"/>
      <c r="J43" s="63"/>
      <c r="K43" s="63"/>
      <c r="L43" s="12"/>
      <c r="M43" s="12"/>
      <c r="N43" s="12"/>
      <c r="O43" s="63"/>
      <c r="Q43" s="176"/>
      <c r="R43" s="92" t="s">
        <v>82</v>
      </c>
      <c r="S43" s="93">
        <f>V37</f>
        <v>2711.9701540750002</v>
      </c>
      <c r="T43" s="93">
        <f>T42</f>
        <v>532.11221699999999</v>
      </c>
      <c r="U43" s="94">
        <f>S43/T43</f>
        <v>5.0966132094557794</v>
      </c>
      <c r="V43" s="63" t="s">
        <v>162</v>
      </c>
    </row>
    <row r="44" spans="1:22" ht="20.100000000000001" customHeight="1" x14ac:dyDescent="0.15">
      <c r="A44" s="11"/>
      <c r="B44" s="12"/>
      <c r="C44" s="12"/>
      <c r="D44" s="55" t="s">
        <v>110</v>
      </c>
      <c r="E44" s="60" t="s">
        <v>111</v>
      </c>
      <c r="F44" s="55" t="s">
        <v>112</v>
      </c>
      <c r="G44" s="55" t="s">
        <v>113</v>
      </c>
      <c r="H44" s="55" t="s">
        <v>114</v>
      </c>
      <c r="I44" s="55" t="s">
        <v>115</v>
      </c>
      <c r="J44" s="55" t="s">
        <v>116</v>
      </c>
      <c r="K44" s="60" t="s">
        <v>117</v>
      </c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20.100000000000001" customHeight="1" x14ac:dyDescent="0.15">
      <c r="A45" s="11"/>
      <c r="B45" s="12"/>
      <c r="C45" s="12"/>
      <c r="D45" s="55">
        <v>2</v>
      </c>
      <c r="E45" s="62">
        <f>K19</f>
        <v>208.33960874999997</v>
      </c>
      <c r="F45" s="62">
        <f>E45/E46</f>
        <v>0.38047546673320776</v>
      </c>
      <c r="G45" s="61">
        <f>1+(1/(F45)^0.5-F45)*K$42</f>
        <v>1.3196959648194522</v>
      </c>
      <c r="H45" s="59">
        <v>1</v>
      </c>
      <c r="I45" s="61">
        <v>0.2</v>
      </c>
      <c r="J45" s="62">
        <f>ROUND(G45*H45*I45,3)</f>
        <v>0.26400000000000001</v>
      </c>
      <c r="K45" s="56">
        <f>ROUNDUP(E45*J45,2)</f>
        <v>55.01</v>
      </c>
      <c r="L45" s="12"/>
      <c r="M45" s="12"/>
      <c r="N45" s="12"/>
      <c r="O45" s="12"/>
      <c r="P45" s="12"/>
      <c r="Q45" s="12"/>
      <c r="R45" s="12"/>
      <c r="S45" s="12"/>
      <c r="T45" s="11"/>
      <c r="U45" s="11"/>
      <c r="V45" s="11"/>
    </row>
    <row r="46" spans="1:22" ht="20.100000000000001" customHeight="1" x14ac:dyDescent="0.15">
      <c r="A46" s="11"/>
      <c r="B46" s="12"/>
      <c r="C46" s="12"/>
      <c r="D46" s="55">
        <v>1</v>
      </c>
      <c r="E46" s="62">
        <f>K37</f>
        <v>547.57698449999998</v>
      </c>
      <c r="F46" s="62">
        <f>E46/E46</f>
        <v>1</v>
      </c>
      <c r="G46" s="61">
        <f>1+(1/(F46)^0.5-F46)*K$42</f>
        <v>1</v>
      </c>
      <c r="H46" s="61">
        <f>H45</f>
        <v>1</v>
      </c>
      <c r="I46" s="61">
        <f>I45</f>
        <v>0.2</v>
      </c>
      <c r="J46" s="62">
        <f>ROUND(G46*H46*I46,3)</f>
        <v>0.2</v>
      </c>
      <c r="K46" s="56">
        <f>ROUNDUP(E46*J46,2)</f>
        <v>109.52000000000001</v>
      </c>
      <c r="L46" s="12"/>
      <c r="M46" s="12"/>
      <c r="N46" s="12"/>
      <c r="O46" s="12"/>
      <c r="P46" s="12"/>
      <c r="Q46" s="12"/>
      <c r="R46" s="12"/>
      <c r="S46" s="12"/>
      <c r="T46" s="11"/>
      <c r="U46" s="11"/>
      <c r="V46" s="11"/>
    </row>
    <row r="47" spans="1:22" ht="15" customHeight="1" x14ac:dyDescent="0.15">
      <c r="A47" s="11"/>
      <c r="B47" s="12"/>
      <c r="C47" s="12"/>
      <c r="D47" s="12"/>
      <c r="E47" s="12"/>
      <c r="F47" s="12"/>
      <c r="G47" s="12"/>
      <c r="H47" s="65" t="s">
        <v>118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1"/>
      <c r="T47" s="11"/>
      <c r="U47" s="11"/>
      <c r="V47" s="11"/>
    </row>
    <row r="48" spans="1:22" ht="15" customHeight="1" x14ac:dyDescent="0.15">
      <c r="A48" s="11"/>
      <c r="B48" s="12"/>
      <c r="C48" s="12"/>
      <c r="D48" s="12"/>
      <c r="E48" s="12"/>
      <c r="F48" s="4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1"/>
      <c r="T48" s="11"/>
      <c r="U48" s="11"/>
      <c r="V48" s="11"/>
    </row>
    <row r="49" spans="1:22" ht="15" customHeight="1" x14ac:dyDescent="0.15">
      <c r="A49" s="11"/>
      <c r="M49" s="12"/>
      <c r="N49" s="12"/>
      <c r="O49" s="12"/>
      <c r="P49" s="12"/>
      <c r="Q49" s="12"/>
      <c r="R49" s="12"/>
      <c r="S49" s="11"/>
      <c r="T49" s="11"/>
      <c r="U49" s="11"/>
      <c r="V49" s="11"/>
    </row>
    <row r="50" spans="1:22" ht="15" customHeight="1" x14ac:dyDescent="0.15">
      <c r="A50" s="11"/>
      <c r="M50" s="12"/>
      <c r="N50" s="12"/>
      <c r="O50" s="12"/>
      <c r="P50" s="12"/>
      <c r="Q50" s="12"/>
      <c r="R50" s="12"/>
      <c r="S50" s="11"/>
      <c r="T50" s="11"/>
      <c r="U50" s="11"/>
      <c r="V50" s="11"/>
    </row>
    <row r="51" spans="1:22" ht="15" customHeight="1" x14ac:dyDescent="0.15">
      <c r="A51" s="11"/>
      <c r="M51" s="12"/>
      <c r="N51" s="12"/>
      <c r="O51" s="12"/>
      <c r="P51" s="12"/>
      <c r="Q51" s="12"/>
      <c r="R51" s="12"/>
      <c r="S51" s="11"/>
      <c r="T51" s="11"/>
      <c r="U51" s="11"/>
      <c r="V51" s="11"/>
    </row>
    <row r="52" spans="1:22" ht="15" customHeight="1" x14ac:dyDescent="0.15">
      <c r="A52" s="11"/>
      <c r="M52" s="12"/>
      <c r="N52" s="12"/>
      <c r="O52" s="12"/>
      <c r="P52" s="12"/>
      <c r="Q52" s="12"/>
      <c r="R52" s="12"/>
      <c r="S52" s="11"/>
      <c r="T52" s="11"/>
      <c r="U52" s="11"/>
      <c r="V52" s="11"/>
    </row>
    <row r="53" spans="1:22" ht="18" customHeight="1" x14ac:dyDescent="0.15">
      <c r="A53" s="11"/>
      <c r="M53" s="12"/>
      <c r="N53" s="12"/>
      <c r="O53" s="12"/>
      <c r="P53" s="12"/>
      <c r="Q53" s="12"/>
      <c r="R53" s="12"/>
      <c r="S53" s="11"/>
      <c r="T53" s="11"/>
      <c r="U53" s="11"/>
      <c r="V53" s="11"/>
    </row>
    <row r="54" spans="1:22" x14ac:dyDescent="0.15">
      <c r="A54" s="11"/>
      <c r="M54" s="12"/>
      <c r="N54" s="12"/>
      <c r="O54" s="12"/>
      <c r="P54" s="12"/>
      <c r="Q54" s="12"/>
      <c r="R54" s="12"/>
      <c r="S54" s="11"/>
      <c r="T54" s="11"/>
      <c r="U54" s="11"/>
      <c r="V54" s="11"/>
    </row>
  </sheetData>
  <mergeCells count="33">
    <mergeCell ref="S11:T11"/>
    <mergeCell ref="U11:V11"/>
    <mergeCell ref="B13:B19"/>
    <mergeCell ref="O13:O19"/>
    <mergeCell ref="C19:I19"/>
    <mergeCell ref="B11:B12"/>
    <mergeCell ref="C11:C12"/>
    <mergeCell ref="D11:D12"/>
    <mergeCell ref="E11:F11"/>
    <mergeCell ref="G11:H11"/>
    <mergeCell ref="L11:L12"/>
    <mergeCell ref="B20:B37"/>
    <mergeCell ref="L20:L25"/>
    <mergeCell ref="O20:O37"/>
    <mergeCell ref="L26:L35"/>
    <mergeCell ref="G36:I36"/>
    <mergeCell ref="C37:I37"/>
    <mergeCell ref="F2:F3"/>
    <mergeCell ref="G2:H2"/>
    <mergeCell ref="I2:I3"/>
    <mergeCell ref="Q40:Q41"/>
    <mergeCell ref="D41:E41"/>
    <mergeCell ref="G41:G42"/>
    <mergeCell ref="H41:H42"/>
    <mergeCell ref="I41:J41"/>
    <mergeCell ref="D42:E42"/>
    <mergeCell ref="I42:J42"/>
    <mergeCell ref="Q42:Q43"/>
    <mergeCell ref="O11:O12"/>
    <mergeCell ref="P11:P12"/>
    <mergeCell ref="P19:Q19"/>
    <mergeCell ref="P36:Q36"/>
    <mergeCell ref="P37:Q37"/>
  </mergeCells>
  <phoneticPr fontId="1"/>
  <dataValidations count="2">
    <dataValidation type="list" allowBlank="1" showInputMessage="1" showErrorMessage="1" sqref="D36" xr:uid="{1F48921E-0DEC-4D98-B9C4-AB2516A29E4B}">
      <formula1>ＺＯＮＥ</formula1>
    </dataValidation>
    <dataValidation type="list" allowBlank="1" showInputMessage="1" showErrorMessage="1" sqref="D13:D18 D26:D35" xr:uid="{FCDB00BB-F920-428E-9155-C86461D116E3}">
      <formula1>$F$4:$F$9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9D06-DE8C-49DA-BE2D-5F4E647186B6}">
  <dimension ref="A2:L28"/>
  <sheetViews>
    <sheetView workbookViewId="0">
      <selection activeCell="M10" sqref="M10"/>
    </sheetView>
  </sheetViews>
  <sheetFormatPr defaultRowHeight="13.5" x14ac:dyDescent="0.15"/>
  <cols>
    <col min="1" max="1" width="3.36328125" customWidth="1"/>
    <col min="2" max="2" width="3.26953125" customWidth="1"/>
    <col min="3" max="3" width="5.7265625" customWidth="1"/>
    <col min="4" max="8" width="9.26953125" customWidth="1"/>
    <col min="9" max="9" width="3.1796875" customWidth="1"/>
    <col min="10" max="12" width="5.7265625" customWidth="1"/>
  </cols>
  <sheetData>
    <row r="2" spans="1:12" x14ac:dyDescent="0.15">
      <c r="A2" s="198" t="s">
        <v>157</v>
      </c>
      <c r="B2" s="198"/>
      <c r="C2" s="198"/>
      <c r="D2" s="198"/>
      <c r="E2" s="198"/>
      <c r="F2" s="198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25.5" customHeight="1" x14ac:dyDescent="0.15">
      <c r="A4" s="114"/>
      <c r="B4" s="197" t="s">
        <v>33</v>
      </c>
      <c r="C4" s="197" t="s">
        <v>165</v>
      </c>
      <c r="D4" s="117" t="s">
        <v>166</v>
      </c>
      <c r="E4" s="117" t="s">
        <v>167</v>
      </c>
      <c r="F4" s="117" t="s">
        <v>168</v>
      </c>
      <c r="G4" s="117" t="s">
        <v>169</v>
      </c>
      <c r="H4" s="117" t="s">
        <v>170</v>
      </c>
      <c r="I4" s="114"/>
      <c r="J4" s="114"/>
      <c r="K4" s="114"/>
      <c r="L4" s="114"/>
    </row>
    <row r="5" spans="1:12" ht="24" customHeight="1" x14ac:dyDescent="0.15">
      <c r="A5" s="114"/>
      <c r="B5" s="197"/>
      <c r="C5" s="197"/>
      <c r="D5" s="117" t="s">
        <v>171</v>
      </c>
      <c r="E5" s="117" t="s">
        <v>172</v>
      </c>
      <c r="F5" s="117" t="s">
        <v>173</v>
      </c>
      <c r="G5" s="117" t="s">
        <v>174</v>
      </c>
      <c r="H5" s="117" t="s">
        <v>175</v>
      </c>
      <c r="I5" s="114"/>
      <c r="J5" s="114"/>
      <c r="K5" s="114"/>
      <c r="L5" s="114"/>
    </row>
    <row r="6" spans="1:12" ht="24" customHeight="1" x14ac:dyDescent="0.15">
      <c r="A6" s="114"/>
      <c r="B6" s="197">
        <v>2</v>
      </c>
      <c r="C6" s="117" t="s">
        <v>146</v>
      </c>
      <c r="D6" s="116">
        <f>必要耐力・重心!U41</f>
        <v>3.3670000000000004</v>
      </c>
      <c r="E6" s="115">
        <v>2.58</v>
      </c>
      <c r="F6" s="116">
        <f>ABS(D6-E6)</f>
        <v>0.78700000000000037</v>
      </c>
      <c r="G6" s="115">
        <v>5.77</v>
      </c>
      <c r="H6" s="116">
        <f>ROUNDUP(F7/G6,2)</f>
        <v>0.04</v>
      </c>
      <c r="I6" s="114"/>
      <c r="J6" s="114"/>
      <c r="K6" s="114"/>
      <c r="L6" s="114"/>
    </row>
    <row r="7" spans="1:12" ht="24" customHeight="1" x14ac:dyDescent="0.15">
      <c r="A7" s="114"/>
      <c r="B7" s="197"/>
      <c r="C7" s="117" t="s">
        <v>147</v>
      </c>
      <c r="D7" s="116">
        <f>必要耐力・重心!U40</f>
        <v>5.7329999999999988</v>
      </c>
      <c r="E7" s="115">
        <v>5.93</v>
      </c>
      <c r="F7" s="116">
        <f>ABS(D7-E7)</f>
        <v>0.19700000000000095</v>
      </c>
      <c r="G7" s="115">
        <v>4.7</v>
      </c>
      <c r="H7" s="116">
        <f>ROUNDUP(F6/G7,2)</f>
        <v>0.17</v>
      </c>
      <c r="I7" s="114"/>
      <c r="J7" s="114"/>
      <c r="K7" s="114"/>
      <c r="L7" s="114"/>
    </row>
    <row r="8" spans="1:12" ht="24" customHeight="1" x14ac:dyDescent="0.15">
      <c r="A8" s="114"/>
      <c r="B8" s="197">
        <v>1</v>
      </c>
      <c r="C8" s="117" t="s">
        <v>146</v>
      </c>
      <c r="D8" s="116">
        <f>必要耐力・重心!U43</f>
        <v>5.0966132094557794</v>
      </c>
      <c r="E8" s="115">
        <v>6.04</v>
      </c>
      <c r="F8" s="116">
        <f>ABS(D8-E8)</f>
        <v>0.94338679054422059</v>
      </c>
      <c r="G8" s="115">
        <v>6.99</v>
      </c>
      <c r="H8" s="116">
        <f>ROUNDUP(F9/G8,2)</f>
        <v>6.9999999999999993E-2</v>
      </c>
      <c r="I8" s="114"/>
      <c r="J8" s="114"/>
      <c r="K8" s="114"/>
      <c r="L8" s="114"/>
    </row>
    <row r="9" spans="1:12" ht="24" customHeight="1" x14ac:dyDescent="0.15">
      <c r="A9" s="114"/>
      <c r="B9" s="197"/>
      <c r="C9" s="117" t="s">
        <v>147</v>
      </c>
      <c r="D9" s="116">
        <f>必要耐力・重心!U42</f>
        <v>5.757845604369952</v>
      </c>
      <c r="E9" s="115">
        <v>5.27</v>
      </c>
      <c r="F9" s="116">
        <f>ABS(D9-E9)</f>
        <v>0.48784560436995239</v>
      </c>
      <c r="G9" s="115">
        <v>6.06</v>
      </c>
      <c r="H9" s="116">
        <f>ROUNDUP(F8/G9,2)</f>
        <v>0.16</v>
      </c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98" t="s">
        <v>163</v>
      </c>
      <c r="B11" s="198"/>
      <c r="C11" s="198"/>
      <c r="D11" s="198"/>
      <c r="E11" s="198"/>
      <c r="F11" s="198"/>
      <c r="G11" s="198"/>
      <c r="H11" s="198"/>
      <c r="I11" s="198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ht="28.5" customHeight="1" x14ac:dyDescent="0.15">
      <c r="A13" s="114"/>
      <c r="B13" s="197" t="s">
        <v>141</v>
      </c>
      <c r="C13" s="197" t="s">
        <v>143</v>
      </c>
      <c r="D13" s="197" t="s">
        <v>142</v>
      </c>
      <c r="E13" s="117" t="s">
        <v>144</v>
      </c>
      <c r="F13" s="114"/>
      <c r="G13" s="114"/>
      <c r="H13" s="114"/>
      <c r="I13" s="114"/>
      <c r="J13" s="114"/>
      <c r="K13" s="114"/>
      <c r="L13" s="114"/>
    </row>
    <row r="14" spans="1:12" ht="20.25" customHeight="1" x14ac:dyDescent="0.15">
      <c r="A14" s="114"/>
      <c r="B14" s="197"/>
      <c r="C14" s="197"/>
      <c r="D14" s="197"/>
      <c r="E14" s="117" t="s">
        <v>145</v>
      </c>
      <c r="F14" s="114"/>
      <c r="G14" s="114"/>
      <c r="H14" s="114"/>
      <c r="I14" s="114"/>
      <c r="J14" s="114"/>
      <c r="K14" s="114"/>
      <c r="L14" s="114"/>
    </row>
    <row r="15" spans="1:12" ht="24" customHeight="1" x14ac:dyDescent="0.15">
      <c r="A15" s="114"/>
      <c r="B15" s="197">
        <v>2</v>
      </c>
      <c r="C15" s="117" t="s">
        <v>146</v>
      </c>
      <c r="D15" s="118">
        <f>H6</f>
        <v>0.04</v>
      </c>
      <c r="E15" s="116">
        <f>IF(D15&lt;0.15,1,IF(D15&lt;0.3,1/(3.33*D15+0.5),IF(D15&lt;0.45,(3.6-2*D15)/(3*(3.33*D15+0.5)),IF(D15&lt;0.6,(3.6-2*D15)/6,0.4))))</f>
        <v>1</v>
      </c>
      <c r="F15" s="114"/>
      <c r="G15" s="114"/>
      <c r="H15" s="114"/>
      <c r="I15" s="114"/>
      <c r="J15" s="114"/>
      <c r="K15" s="114"/>
      <c r="L15" s="114"/>
    </row>
    <row r="16" spans="1:12" ht="24" customHeight="1" x14ac:dyDescent="0.15">
      <c r="A16" s="114"/>
      <c r="B16" s="197"/>
      <c r="C16" s="117" t="s">
        <v>147</v>
      </c>
      <c r="D16" s="118">
        <f>H7</f>
        <v>0.17</v>
      </c>
      <c r="E16" s="116">
        <f>IF(D16&lt;0.15,1,IF(D16&lt;0.3,1/(3.33*D16+0.5),IF(D16&lt;0.45,(3.6-2*D16)/(3*(3.33*D16+0.5)),IF(D16&lt;0.6,(3.6-2*D16)/6,0.4))))</f>
        <v>0.93799831160303904</v>
      </c>
      <c r="F16" s="114"/>
      <c r="G16" s="114"/>
      <c r="H16" s="114"/>
      <c r="I16" s="114"/>
      <c r="J16" s="114"/>
      <c r="K16" s="114"/>
      <c r="L16" s="114"/>
    </row>
    <row r="17" spans="1:12" ht="24" customHeight="1" x14ac:dyDescent="0.15">
      <c r="A17" s="114"/>
      <c r="B17" s="197">
        <v>1</v>
      </c>
      <c r="C17" s="117" t="s">
        <v>146</v>
      </c>
      <c r="D17" s="118">
        <f>H8</f>
        <v>6.9999999999999993E-2</v>
      </c>
      <c r="E17" s="116">
        <f>IF(D17&lt;0.15,1,IF(D17&lt;0.3,1/(3.33*D17+0.5),IF(D17&lt;0.45,(3.6-2*D17)/(3*(3.33*D17+0.5)),IF(D17&lt;0.6,(3.6-2*D17)/6,0.4))))</f>
        <v>1</v>
      </c>
      <c r="F17" s="114"/>
      <c r="G17" s="114"/>
      <c r="H17" s="114"/>
      <c r="I17" s="114"/>
      <c r="J17" s="114"/>
      <c r="K17" s="114"/>
      <c r="L17" s="114"/>
    </row>
    <row r="18" spans="1:12" ht="24" customHeight="1" x14ac:dyDescent="0.15">
      <c r="A18" s="114"/>
      <c r="B18" s="197"/>
      <c r="C18" s="117" t="s">
        <v>147</v>
      </c>
      <c r="D18" s="118">
        <f>H9</f>
        <v>0.16</v>
      </c>
      <c r="E18" s="116">
        <f>IF(D18&lt;0.15,1,IF(D18&lt;0.3,1/(3.33*D18+0.5),IF(D18&lt;0.45,(3.6-2*D18)/(3*(3.33*D18+0.5)),IF(D18&lt;0.6,(3.6-2*D18)/6,0.4))))</f>
        <v>0.96824167312161125</v>
      </c>
      <c r="F18" s="114"/>
      <c r="G18" s="114"/>
      <c r="H18" s="114"/>
      <c r="I18" s="114"/>
      <c r="J18" s="114"/>
      <c r="K18" s="114"/>
      <c r="L18" s="114"/>
    </row>
    <row r="19" spans="1:12" x14ac:dyDescent="0.1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x14ac:dyDescent="0.15">
      <c r="A20" s="198" t="s">
        <v>164</v>
      </c>
      <c r="B20" s="198"/>
      <c r="C20" s="198"/>
      <c r="D20" s="198"/>
      <c r="E20" s="198"/>
      <c r="F20" s="198"/>
      <c r="G20" s="198"/>
      <c r="H20" s="198"/>
      <c r="I20" s="114"/>
      <c r="J20" s="114"/>
      <c r="K20" s="114"/>
      <c r="L20" s="114"/>
    </row>
    <row r="21" spans="1:12" x14ac:dyDescent="0.1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ht="32.25" customHeight="1" x14ac:dyDescent="0.15">
      <c r="A22" s="114"/>
      <c r="B22" s="197" t="s">
        <v>141</v>
      </c>
      <c r="C22" s="197" t="s">
        <v>143</v>
      </c>
      <c r="D22" s="117" t="s">
        <v>148</v>
      </c>
      <c r="E22" s="117" t="s">
        <v>149</v>
      </c>
      <c r="F22" s="117" t="s">
        <v>150</v>
      </c>
      <c r="G22" s="117" t="s">
        <v>151</v>
      </c>
      <c r="H22" s="117" t="s">
        <v>152</v>
      </c>
      <c r="I22" s="114"/>
      <c r="J22" s="114"/>
      <c r="K22" s="114"/>
    </row>
    <row r="23" spans="1:12" ht="27.75" customHeight="1" x14ac:dyDescent="0.15">
      <c r="A23" s="114"/>
      <c r="B23" s="197"/>
      <c r="C23" s="197"/>
      <c r="D23" s="119" t="s">
        <v>153</v>
      </c>
      <c r="E23" s="119" t="s">
        <v>145</v>
      </c>
      <c r="F23" s="119" t="s">
        <v>154</v>
      </c>
      <c r="G23" s="119" t="s">
        <v>155</v>
      </c>
      <c r="H23" s="119" t="s">
        <v>156</v>
      </c>
      <c r="I23" s="114"/>
      <c r="J23" s="114"/>
      <c r="K23" s="114"/>
    </row>
    <row r="24" spans="1:12" ht="24" customHeight="1" x14ac:dyDescent="0.15">
      <c r="A24" s="114"/>
      <c r="B24" s="197">
        <v>2</v>
      </c>
      <c r="C24" s="117" t="s">
        <v>146</v>
      </c>
      <c r="D24" s="120">
        <v>28.84</v>
      </c>
      <c r="E24" s="121">
        <f>E15</f>
        <v>1</v>
      </c>
      <c r="F24" s="122">
        <f>ROUNDDOWN(D24*E24,2)</f>
        <v>28.84</v>
      </c>
      <c r="G24" s="123">
        <f>必要耐力・重心!K45</f>
        <v>55.01</v>
      </c>
      <c r="H24" s="124">
        <f>ROUNDDOWN(F24/G24,2)</f>
        <v>0.52</v>
      </c>
      <c r="I24" s="114"/>
      <c r="J24" s="114"/>
      <c r="K24" s="114"/>
    </row>
    <row r="25" spans="1:12" ht="24" customHeight="1" x14ac:dyDescent="0.15">
      <c r="A25" s="114"/>
      <c r="B25" s="197"/>
      <c r="C25" s="117" t="s">
        <v>147</v>
      </c>
      <c r="D25" s="120">
        <v>43.47</v>
      </c>
      <c r="E25" s="121">
        <f>E16</f>
        <v>0.93799831160303904</v>
      </c>
      <c r="F25" s="122">
        <f t="shared" ref="F25:F27" si="0">ROUNDDOWN(D25*E25,2)</f>
        <v>40.770000000000003</v>
      </c>
      <c r="G25" s="123">
        <f>G24</f>
        <v>55.01</v>
      </c>
      <c r="H25" s="124">
        <f>ROUNDDOWN(F25/G25,2)</f>
        <v>0.74</v>
      </c>
      <c r="I25" s="114"/>
      <c r="J25" s="114"/>
      <c r="K25" s="114"/>
    </row>
    <row r="26" spans="1:12" ht="24" customHeight="1" x14ac:dyDescent="0.15">
      <c r="A26" s="114"/>
      <c r="B26" s="197">
        <v>1</v>
      </c>
      <c r="C26" s="117" t="s">
        <v>146</v>
      </c>
      <c r="D26" s="120">
        <v>57.38</v>
      </c>
      <c r="E26" s="121">
        <f>E17</f>
        <v>1</v>
      </c>
      <c r="F26" s="122">
        <f t="shared" si="0"/>
        <v>57.38</v>
      </c>
      <c r="G26" s="121">
        <f>必要耐力・重心!K46</f>
        <v>109.52000000000001</v>
      </c>
      <c r="H26" s="124">
        <f>ROUNDDOWN(F26/G26,2)</f>
        <v>0.52</v>
      </c>
      <c r="I26" s="114"/>
      <c r="J26" s="114"/>
      <c r="K26" s="114"/>
    </row>
    <row r="27" spans="1:12" ht="24" customHeight="1" x14ac:dyDescent="0.15">
      <c r="A27" s="114"/>
      <c r="B27" s="197"/>
      <c r="C27" s="117" t="s">
        <v>147</v>
      </c>
      <c r="D27" s="120">
        <v>76.25</v>
      </c>
      <c r="E27" s="121">
        <f>E18</f>
        <v>0.96824167312161125</v>
      </c>
      <c r="F27" s="122">
        <f t="shared" si="0"/>
        <v>73.819999999999993</v>
      </c>
      <c r="G27" s="121">
        <f>G26</f>
        <v>109.52000000000001</v>
      </c>
      <c r="H27" s="124">
        <f>ROUNDDOWN(F27/G27,2)</f>
        <v>0.67</v>
      </c>
      <c r="I27" s="114"/>
      <c r="J27" s="114"/>
      <c r="K27" s="114"/>
    </row>
    <row r="28" spans="1:12" x14ac:dyDescent="0.1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</sheetData>
  <mergeCells count="16">
    <mergeCell ref="B26:B27"/>
    <mergeCell ref="A11:I11"/>
    <mergeCell ref="B13:B14"/>
    <mergeCell ref="C13:C14"/>
    <mergeCell ref="D13:D14"/>
    <mergeCell ref="B15:B16"/>
    <mergeCell ref="B17:B18"/>
    <mergeCell ref="A20:H20"/>
    <mergeCell ref="B22:B23"/>
    <mergeCell ref="C22:C23"/>
    <mergeCell ref="B24:B25"/>
    <mergeCell ref="B6:B7"/>
    <mergeCell ref="B8:B9"/>
    <mergeCell ref="B4:B5"/>
    <mergeCell ref="C4:C5"/>
    <mergeCell ref="A2:F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重量表</vt:lpstr>
      <vt:lpstr>必要耐力・重心</vt:lpstr>
      <vt:lpstr>評点</vt:lpstr>
      <vt:lpstr>重量表!Print_Area</vt:lpstr>
      <vt:lpstr>必要耐力・重心!Print_Area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完二 成田</cp:lastModifiedBy>
  <cp:lastPrinted>2023-08-16T05:10:49Z</cp:lastPrinted>
  <dcterms:created xsi:type="dcterms:W3CDTF">2023-08-14T01:53:21Z</dcterms:created>
  <dcterms:modified xsi:type="dcterms:W3CDTF">2023-09-11T04:26:25Z</dcterms:modified>
</cp:coreProperties>
</file>